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1'!$T$86:$U$87</definedName>
    <definedName name="_Hlk155693198" localSheetId="0">'Plan Adqu ICFE 2024 VR 1'!$M$150</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3" i="11" l="1"/>
  <c r="W372" i="11" l="1"/>
  <c r="W323" i="11"/>
  <c r="W282" i="11" l="1"/>
  <c r="X282" i="11"/>
  <c r="W250" i="11"/>
  <c r="W217" i="11"/>
  <c r="V211" i="11"/>
  <c r="W211" i="11"/>
  <c r="W101" i="11"/>
  <c r="V323" i="11"/>
  <c r="V282" i="11"/>
  <c r="V101" i="11"/>
  <c r="V383" i="11"/>
  <c r="V321" i="11"/>
  <c r="X289" i="11"/>
  <c r="V217" i="11"/>
  <c r="X390" i="11" l="1"/>
  <c r="X389" i="11"/>
  <c r="X388" i="11"/>
  <c r="X387" i="11"/>
  <c r="X386" i="11"/>
  <c r="X385" i="11"/>
  <c r="X384" i="11"/>
  <c r="X383" i="11"/>
  <c r="X382" i="11"/>
  <c r="X381" i="11"/>
  <c r="X380" i="11"/>
  <c r="X379" i="11"/>
  <c r="X378" i="11"/>
  <c r="X377" i="11"/>
  <c r="X372" i="11"/>
  <c r="X371" i="11"/>
  <c r="X370" i="11"/>
  <c r="X369" i="11"/>
  <c r="X368" i="11"/>
  <c r="X367" i="11"/>
  <c r="X366" i="11"/>
  <c r="X365" i="11"/>
  <c r="X364" i="11"/>
  <c r="X363" i="11"/>
  <c r="X362" i="11"/>
  <c r="X361" i="11"/>
  <c r="X360" i="11"/>
  <c r="X359" i="11"/>
  <c r="X358" i="11"/>
  <c r="X357" i="11"/>
  <c r="X356" i="11"/>
  <c r="X355" i="11"/>
  <c r="X354" i="11"/>
  <c r="X353" i="11"/>
  <c r="X352" i="11"/>
  <c r="X351" i="11"/>
  <c r="X350" i="11"/>
  <c r="X349" i="11"/>
  <c r="X315" i="11"/>
  <c r="X311" i="11"/>
  <c r="X310" i="11"/>
  <c r="X306" i="11"/>
  <c r="X305" i="11"/>
  <c r="X304" i="11"/>
  <c r="X303" i="11"/>
  <c r="X302" i="11"/>
  <c r="X301" i="11"/>
  <c r="X300" i="11"/>
  <c r="X299" i="11"/>
  <c r="X297" i="11"/>
  <c r="X296" i="11"/>
  <c r="X293" i="11"/>
  <c r="X292" i="11"/>
  <c r="X291" i="11"/>
  <c r="X290" i="11"/>
  <c r="X288" i="11"/>
  <c r="X287" i="11"/>
  <c r="X266" i="11"/>
  <c r="X265" i="11"/>
  <c r="X264" i="11"/>
  <c r="X263" i="11"/>
  <c r="X261" i="11"/>
  <c r="X260" i="11"/>
  <c r="X259" i="11"/>
  <c r="X257" i="11"/>
  <c r="X256" i="11"/>
  <c r="X255" i="11"/>
  <c r="X254" i="11"/>
  <c r="X253" i="11"/>
  <c r="X252" i="11"/>
  <c r="X251" i="11"/>
  <c r="X250" i="11"/>
  <c r="X245" i="11"/>
  <c r="X243" i="11"/>
  <c r="X240" i="11"/>
  <c r="X237" i="11"/>
  <c r="X235" i="11"/>
  <c r="X234" i="11"/>
  <c r="X231" i="11"/>
  <c r="X230" i="11"/>
  <c r="X224" i="11"/>
  <c r="X215" i="11"/>
  <c r="X212" i="11"/>
  <c r="X200" i="11"/>
  <c r="X199" i="11"/>
  <c r="X198" i="11"/>
  <c r="X197" i="11"/>
  <c r="X195" i="11"/>
  <c r="X194" i="11"/>
  <c r="X193" i="11"/>
  <c r="X191" i="11"/>
  <c r="X187" i="11"/>
  <c r="X175" i="11"/>
  <c r="X174" i="11"/>
  <c r="X173" i="11"/>
  <c r="X172" i="11"/>
  <c r="X171" i="11"/>
  <c r="X170" i="11"/>
  <c r="X169" i="11"/>
  <c r="X168" i="11"/>
  <c r="X166" i="11"/>
  <c r="X164" i="11"/>
  <c r="X163" i="11"/>
  <c r="X162" i="11"/>
  <c r="X161" i="11"/>
  <c r="X160" i="11"/>
  <c r="X159" i="11"/>
  <c r="X158" i="11"/>
  <c r="X157" i="11"/>
  <c r="X156" i="11"/>
  <c r="X155" i="11"/>
  <c r="X154" i="11"/>
  <c r="X153" i="11"/>
  <c r="X152" i="11"/>
  <c r="X151" i="11"/>
  <c r="X150" i="11"/>
  <c r="X149" i="11"/>
  <c r="X148" i="11"/>
  <c r="X147" i="11"/>
  <c r="X146" i="11"/>
  <c r="X145" i="11"/>
  <c r="X144" i="11"/>
  <c r="X143" i="11"/>
  <c r="X142" i="11"/>
  <c r="X141" i="11"/>
  <c r="X140" i="11"/>
  <c r="X139" i="11"/>
  <c r="X138" i="11"/>
  <c r="X137" i="11"/>
  <c r="X136" i="11"/>
  <c r="X135" i="11"/>
  <c r="X134" i="11"/>
  <c r="X133" i="11"/>
  <c r="X132" i="11"/>
  <c r="X131" i="11"/>
  <c r="X130" i="11"/>
  <c r="X129" i="11"/>
  <c r="X128" i="11"/>
  <c r="X127" i="11"/>
  <c r="X126" i="11"/>
  <c r="X125" i="11"/>
  <c r="X124" i="11"/>
  <c r="X123" i="11"/>
  <c r="X122" i="11"/>
  <c r="X121" i="11"/>
  <c r="X120" i="11"/>
  <c r="X116" i="11"/>
  <c r="X115" i="11"/>
  <c r="X114" i="11"/>
  <c r="X113" i="11"/>
  <c r="X112" i="11"/>
  <c r="X111" i="11"/>
  <c r="X98" i="11"/>
  <c r="X97" i="11"/>
  <c r="X95" i="11"/>
  <c r="X94" i="11"/>
  <c r="X93" i="11"/>
  <c r="X84" i="11"/>
  <c r="X81" i="11"/>
  <c r="X80" i="11"/>
  <c r="X73" i="11"/>
  <c r="X57" i="11"/>
  <c r="X54" i="11"/>
  <c r="X52" i="11"/>
  <c r="X47" i="11"/>
  <c r="X42" i="11"/>
  <c r="X39" i="11"/>
  <c r="X24" i="11"/>
  <c r="X23" i="11"/>
  <c r="X17" i="11"/>
  <c r="X14" i="11"/>
  <c r="X13" i="11"/>
  <c r="R282" i="11" l="1"/>
  <c r="R245" i="11"/>
  <c r="R335" i="11" l="1"/>
  <c r="R328" i="11"/>
  <c r="R323" i="11"/>
  <c r="W371" i="11"/>
  <c r="W200" i="11"/>
  <c r="W377" i="11"/>
  <c r="R304" i="11"/>
  <c r="V371" i="11"/>
  <c r="V49" i="11"/>
  <c r="V200" i="11"/>
  <c r="V69" i="11"/>
  <c r="X89" i="11"/>
  <c r="R131" i="11" l="1"/>
  <c r="R130" i="11"/>
  <c r="R144" i="11"/>
  <c r="R143" i="11"/>
  <c r="R250" i="11" l="1"/>
  <c r="R277" i="11" l="1"/>
  <c r="R276" i="11" s="1"/>
  <c r="X278" i="11"/>
  <c r="R170" i="11" l="1"/>
  <c r="R122" i="11"/>
  <c r="V122" i="11"/>
  <c r="X208" i="11" l="1"/>
  <c r="W275" i="11"/>
  <c r="X204" i="11"/>
  <c r="X36" i="11"/>
  <c r="X34" i="11"/>
  <c r="X30" i="11"/>
  <c r="X66" i="11"/>
  <c r="X46" i="11"/>
  <c r="X59" i="11"/>
  <c r="X38" i="11"/>
  <c r="X87" i="11"/>
  <c r="R372" i="11" l="1"/>
  <c r="R370" i="11"/>
  <c r="V367" i="11"/>
  <c r="R367" i="11"/>
  <c r="V365" i="11"/>
  <c r="R365" i="11"/>
  <c r="V363" i="11"/>
  <c r="R363" i="11"/>
  <c r="R362" i="11"/>
  <c r="R361" i="11"/>
  <c r="R360" i="11"/>
  <c r="R359" i="11"/>
  <c r="R358" i="11"/>
  <c r="R357" i="11"/>
  <c r="R356" i="11"/>
  <c r="R355" i="11"/>
  <c r="R354" i="11"/>
  <c r="R353" i="11"/>
  <c r="R352" i="11"/>
  <c r="R351" i="11"/>
  <c r="R350" i="11"/>
  <c r="R349" i="11"/>
  <c r="R338" i="11"/>
  <c r="R340" i="11"/>
  <c r="R244" i="11"/>
  <c r="R348" i="11" l="1"/>
  <c r="R347" i="11" s="1"/>
  <c r="R346" i="11" s="1"/>
  <c r="R345" i="11" s="1"/>
  <c r="R337" i="11"/>
  <c r="R336" i="11" s="1"/>
  <c r="R321" i="11" l="1"/>
  <c r="X321" i="11" s="1"/>
  <c r="R168" i="11"/>
  <c r="R174" i="11" l="1"/>
  <c r="R172" i="11"/>
  <c r="R160" i="11"/>
  <c r="R156" i="11"/>
  <c r="R154" i="11"/>
  <c r="R152" i="11"/>
  <c r="R150" i="11"/>
  <c r="R132" i="11"/>
  <c r="R128" i="11"/>
  <c r="R126" i="11"/>
  <c r="R113" i="11"/>
  <c r="R111" i="11"/>
  <c r="R167" i="11" l="1"/>
  <c r="X41" i="11"/>
  <c r="R289" i="11"/>
  <c r="R384" i="11"/>
  <c r="R383" i="11"/>
  <c r="X319" i="11" l="1"/>
  <c r="R146" i="11" l="1"/>
  <c r="X323" i="11" l="1"/>
  <c r="R320" i="11"/>
  <c r="R217" i="11"/>
  <c r="R205" i="11"/>
  <c r="R101" i="11"/>
  <c r="R73" i="11"/>
  <c r="R322" i="11" l="1"/>
  <c r="V386" i="11" l="1"/>
  <c r="V377" i="11"/>
  <c r="X332" i="11"/>
  <c r="X330" i="11"/>
  <c r="X328" i="11"/>
  <c r="V300" i="11"/>
  <c r="X275" i="11"/>
  <c r="X227" i="11"/>
  <c r="X217" i="11"/>
  <c r="X211" i="11"/>
  <c r="X205" i="11"/>
  <c r="X183" i="11"/>
  <c r="X107" i="11"/>
  <c r="X101" i="11"/>
  <c r="X79" i="11"/>
  <c r="X69" i="11"/>
  <c r="X62" i="11"/>
  <c r="X49" i="11"/>
  <c r="R45" i="11" l="1"/>
  <c r="R377" i="11"/>
  <c r="R387" i="11"/>
  <c r="R389" i="11"/>
  <c r="R83" i="11" l="1"/>
  <c r="R82" i="11"/>
  <c r="X82" i="11" s="1"/>
  <c r="R302" i="11"/>
  <c r="R295" i="11"/>
  <c r="R270" i="11"/>
  <c r="X270" i="11" s="1"/>
  <c r="R149" i="11"/>
  <c r="R148" i="11"/>
  <c r="R121" i="11"/>
  <c r="X83" i="11" l="1"/>
  <c r="R115" i="11"/>
  <c r="R110" i="11" s="1"/>
  <c r="R125" i="11"/>
  <c r="R182" i="11"/>
  <c r="X182" i="11" s="1"/>
  <c r="R305" i="11"/>
  <c r="R303" i="11" l="1"/>
  <c r="R315" i="11"/>
  <c r="R311" i="11"/>
  <c r="R300" i="11"/>
  <c r="R301" i="11"/>
  <c r="R299" i="11"/>
  <c r="R380" i="11"/>
  <c r="R386" i="11"/>
  <c r="R379" i="11"/>
  <c r="R378" i="11"/>
  <c r="R376" i="11" l="1"/>
  <c r="R375" i="11" s="1"/>
  <c r="R374" i="11" s="1"/>
  <c r="R373" i="11" s="1"/>
  <c r="R298" i="11"/>
  <c r="R76" i="11"/>
  <c r="R251" i="11"/>
  <c r="X76" i="11" l="1"/>
  <c r="R229" i="11" l="1"/>
  <c r="R226" i="11"/>
  <c r="R223" i="11"/>
  <c r="R210" i="11"/>
  <c r="R177" i="11"/>
  <c r="X177" i="11" s="1"/>
  <c r="R96" i="11"/>
  <c r="R228" i="11" l="1"/>
  <c r="R225" i="11"/>
  <c r="M332" i="11"/>
  <c r="M330" i="11"/>
  <c r="M328" i="11"/>
  <c r="E3" i="12" l="1"/>
  <c r="F3" i="12" s="1"/>
  <c r="E4" i="12"/>
  <c r="F4" i="12" s="1"/>
  <c r="E5" i="12"/>
  <c r="F5" i="12" s="1"/>
  <c r="E6" i="12"/>
  <c r="F6" i="12" s="1"/>
  <c r="E7" i="12"/>
  <c r="F7" i="12" s="1"/>
  <c r="E8" i="12"/>
  <c r="F8" i="12" s="1"/>
  <c r="E9" i="12"/>
  <c r="F9" i="12" s="1"/>
  <c r="E10" i="12"/>
  <c r="F10" i="12" s="1"/>
  <c r="E11" i="12"/>
  <c r="F11" i="12" s="1"/>
  <c r="R249" i="11" l="1"/>
  <c r="R262" i="11"/>
  <c r="R239" i="11" l="1"/>
  <c r="R233" i="11"/>
  <c r="R314" i="11" l="1"/>
  <c r="R344" i="11"/>
  <c r="R333" i="11"/>
  <c r="R331" i="11"/>
  <c r="R329" i="11"/>
  <c r="R327" i="11"/>
  <c r="R318" i="11"/>
  <c r="R317" i="11" s="1"/>
  <c r="R316" i="11" s="1"/>
  <c r="R309" i="11"/>
  <c r="R281" i="11"/>
  <c r="R274" i="11"/>
  <c r="R273" i="11" s="1"/>
  <c r="R272" i="11" s="1"/>
  <c r="R269" i="11"/>
  <c r="R258" i="11"/>
  <c r="R242" i="11"/>
  <c r="R238" i="11"/>
  <c r="R236" i="11"/>
  <c r="R222" i="11"/>
  <c r="R209" i="11"/>
  <c r="R207" i="11"/>
  <c r="R203" i="11"/>
  <c r="R192" i="11"/>
  <c r="R190" i="11"/>
  <c r="R181" i="11"/>
  <c r="R106" i="11"/>
  <c r="R92" i="11"/>
  <c r="R88" i="11"/>
  <c r="R86" i="11"/>
  <c r="R75" i="11"/>
  <c r="R68" i="11"/>
  <c r="R65" i="11"/>
  <c r="R63" i="11"/>
  <c r="R61" i="11"/>
  <c r="R58" i="11"/>
  <c r="R56" i="11"/>
  <c r="R53" i="11"/>
  <c r="R51" i="11"/>
  <c r="R48" i="11"/>
  <c r="R44" i="11" s="1"/>
  <c r="R35" i="11"/>
  <c r="R33" i="11"/>
  <c r="R29" i="11"/>
  <c r="R326" i="11" l="1"/>
  <c r="R202" i="11"/>
  <c r="R232" i="11"/>
  <c r="R67" i="11"/>
  <c r="R268" i="11"/>
  <c r="R308" i="11"/>
  <c r="R28" i="11"/>
  <c r="R74" i="11"/>
  <c r="R105" i="11"/>
  <c r="R206" i="11"/>
  <c r="R280" i="11"/>
  <c r="R313" i="11"/>
  <c r="R32" i="11"/>
  <c r="R248" i="11"/>
  <c r="R176" i="11"/>
  <c r="R165" i="11" s="1"/>
  <c r="R50" i="11"/>
  <c r="R294" i="11"/>
  <c r="R286" i="11" s="1"/>
  <c r="R285" i="11" s="1"/>
  <c r="R241" i="11"/>
  <c r="R55" i="11"/>
  <c r="R221" i="11" l="1"/>
  <c r="R104" i="11"/>
  <c r="R103" i="11" s="1"/>
  <c r="R343" i="11"/>
  <c r="R312" i="11"/>
  <c r="R27" i="11"/>
  <c r="R307" i="11"/>
  <c r="R247" i="11"/>
  <c r="R279" i="11"/>
  <c r="R271" i="11" s="1"/>
  <c r="R267" i="11"/>
  <c r="R284" i="11"/>
  <c r="R220" i="11" l="1"/>
  <c r="R102" i="11"/>
  <c r="R100" i="11" s="1"/>
  <c r="R99" i="11" s="1"/>
  <c r="R91" i="11" s="1"/>
  <c r="R283" i="11"/>
  <c r="R342" i="11"/>
  <c r="R246" i="11" l="1"/>
  <c r="R219" i="11" l="1"/>
  <c r="R218" i="11" l="1"/>
  <c r="R216" i="11" l="1"/>
  <c r="R214" i="11" s="1"/>
  <c r="R213" i="11" s="1"/>
  <c r="R85" i="11"/>
  <c r="R78" i="11" s="1"/>
  <c r="R77" i="11" s="1"/>
  <c r="R72" i="11"/>
  <c r="R71" i="11" s="1"/>
  <c r="R60" i="11"/>
  <c r="R43" i="11" s="1"/>
  <c r="R40" i="11"/>
  <c r="R37" i="11" s="1"/>
  <c r="R196" i="11" l="1"/>
  <c r="R189" i="11" s="1"/>
  <c r="R188" i="11" s="1"/>
  <c r="R186" i="11" s="1"/>
  <c r="R185" i="11" s="1"/>
  <c r="R184" i="11" s="1"/>
  <c r="R201" i="11"/>
  <c r="R119" i="11"/>
  <c r="R118" i="11" s="1"/>
  <c r="R117" i="11" s="1"/>
  <c r="R109" i="11" s="1"/>
  <c r="R70" i="11"/>
  <c r="R31" i="11"/>
  <c r="R108" i="11" l="1"/>
  <c r="R90" i="11" s="1"/>
  <c r="R26" i="11"/>
  <c r="R25" i="11" l="1"/>
  <c r="R22" i="11"/>
  <c r="R21" i="11" s="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R17" authorId="1" shapeId="0">
      <text>
        <r>
          <rPr>
            <b/>
            <sz val="9"/>
            <color indexed="81"/>
            <rFont val="Tahoma"/>
            <family val="2"/>
          </rPr>
          <t>Acuerdo: 002 del 19/03/2024
Valor: $ 100.000.000
Se recibe de: 
Desagregación presupuestal resolución 0219 del 06/06/2024</t>
        </r>
        <r>
          <rPr>
            <sz val="9"/>
            <color indexed="81"/>
            <rFont val="Tahoma"/>
            <family val="2"/>
          </rPr>
          <t xml:space="preserve">
</t>
        </r>
      </text>
    </comment>
    <comment ref="R24" authorId="1" shapeId="0">
      <text>
        <r>
          <rPr>
            <b/>
            <sz val="9"/>
            <color indexed="81"/>
            <rFont val="Tahoma"/>
            <family val="2"/>
          </rPr>
          <t>Acuerdo: 002 del 19/03/2024
Valor: $ 60.000.000
Se recibe de: 
Desagregación presupuestal resolución 0219 del 06/06/2024</t>
        </r>
        <r>
          <rPr>
            <sz val="9"/>
            <color indexed="81"/>
            <rFont val="Tahoma"/>
            <family val="2"/>
          </rPr>
          <t xml:space="preserve">
</t>
        </r>
      </text>
    </comment>
    <comment ref="R39" authorId="1" shapeId="0">
      <text>
        <r>
          <rPr>
            <b/>
            <sz val="9"/>
            <color indexed="81"/>
            <rFont val="Tahoma"/>
            <family val="2"/>
          </rPr>
          <t>Acuerdo: 002 del 19/03/2024
Valor: $50.000.000
Se recibe de: 
Desagregación presupuestal resolución 0219 del 06/06/2024</t>
        </r>
      </text>
    </comment>
    <comment ref="R42" authorId="1" shapeId="0">
      <text>
        <r>
          <rPr>
            <b/>
            <sz val="9"/>
            <color indexed="81"/>
            <rFont val="Tahoma"/>
            <family val="2"/>
          </rPr>
          <t>Acuerdo: 002 del 19/03/2024
Valor: $ 200.000.000
Se recibe de: 
Desagregación presupuestal resolución 0219 del 06/06/2024</t>
        </r>
      </text>
    </comment>
    <comment ref="R64" authorId="1" shapeId="0">
      <text>
        <r>
          <rPr>
            <b/>
            <sz val="9"/>
            <color indexed="81"/>
            <rFont val="Tahoma"/>
            <family val="2"/>
          </rPr>
          <t>Acuerdo: 002 del 19/03/2024
Valor: $ 85.000.000
Se recibe de: 
Desagregación presupuestal resolución 0219 del 06/06/2024</t>
        </r>
      </text>
    </comment>
    <comment ref="R73" authorId="1" shapeId="0">
      <text>
        <r>
          <rPr>
            <b/>
            <sz val="9"/>
            <color indexed="81"/>
            <rFont val="Tahoma"/>
            <family val="2"/>
          </rPr>
          <t>Acuerdo: 002 del 19/03/2024
Valor: $ 60.000.000
Se recibe de: 
Desagregación presupuestal resolución 0219 del 06/06/2024</t>
        </r>
        <r>
          <rPr>
            <sz val="9"/>
            <color indexed="81"/>
            <rFont val="Tahoma"/>
            <family val="2"/>
          </rPr>
          <t xml:space="preserve">
</t>
        </r>
      </text>
    </comment>
    <comment ref="R76"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79"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0" authorId="1" shapeId="0">
      <text>
        <r>
          <rPr>
            <b/>
            <sz val="9"/>
            <color indexed="81"/>
            <rFont val="Tahoma"/>
            <family val="2"/>
          </rPr>
          <t>Acuerdo: 002 del 19/03/2024
Valor: $ 35.000.000
Se recibe de: 
Desagregación presupuestal resolución 0219 del 06/06/2024</t>
        </r>
      </text>
    </comment>
    <comment ref="R81" authorId="1" shapeId="0">
      <text>
        <r>
          <rPr>
            <b/>
            <sz val="9"/>
            <color indexed="81"/>
            <rFont val="Tahoma"/>
            <family val="2"/>
          </rPr>
          <t>Acuerdo: 002 del 19/03/2024
Valor: $ 50.000.000
Se recibe de: 
Desagregación presupuestal resolución 0219 del 06/06/2024</t>
        </r>
      </text>
    </comment>
    <comment ref="R82"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3"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R84"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87" authorId="1" shapeId="0">
      <text>
        <r>
          <rPr>
            <b/>
            <sz val="9"/>
            <color indexed="81"/>
            <rFont val="Tahoma"/>
            <family val="2"/>
          </rPr>
          <t>Acuerdo: 002 del 19/03/2024
Valor: $ 10.000.000
Se recibe de: 
Desagregación presupuestal resolución 0219 del 06/06/2024</t>
        </r>
      </text>
    </comment>
    <comment ref="R101" authorId="1" shapeId="0">
      <text>
        <r>
          <rPr>
            <b/>
            <sz val="9"/>
            <color indexed="81"/>
            <rFont val="Tahoma"/>
            <family val="2"/>
          </rPr>
          <t>Acuerdo: 002 del 19/03/2024
Valor: $ 46.000.000
Se recibe de: 
Desagregación presupuestal resolución 0219 del 06/06/2024</t>
        </r>
      </text>
    </comment>
    <comment ref="R112" authorId="1" shapeId="0">
      <text>
        <r>
          <rPr>
            <b/>
            <sz val="9"/>
            <color indexed="81"/>
            <rFont val="Tahoma"/>
            <family val="2"/>
          </rPr>
          <t xml:space="preserve">Acuerdo: 002 del 19/03/2024
Valor: $ 32.300.000
Se recibe de: 
Desagregación presupuestal resolución 0219 del 06/06/2024
</t>
        </r>
      </text>
    </comment>
    <comment ref="R114" authorId="1" shapeId="0">
      <text>
        <r>
          <rPr>
            <b/>
            <sz val="9"/>
            <color indexed="81"/>
            <rFont val="Tahoma"/>
            <family val="2"/>
          </rPr>
          <t>Acuerdo: 002 del 19/03/2024
Valor: $ 32.300.000
Se recibe de: 
Desagregación presupuestal resolución 0219 del 06/06/2024</t>
        </r>
      </text>
    </comment>
    <comment ref="R115" authorId="3" shapeId="0">
      <text>
        <r>
          <rPr>
            <sz val="9"/>
            <color indexed="81"/>
            <rFont val="Tahoma"/>
            <family val="2"/>
          </rPr>
          <t>Se revisa con la ejecución del 19 de marzo diferencia 150.000</t>
        </r>
      </text>
    </comment>
    <comment ref="R116"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1"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2"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2"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27" authorId="1" shapeId="0">
      <text>
        <r>
          <rPr>
            <b/>
            <sz val="9"/>
            <color indexed="81"/>
            <rFont val="Tahoma"/>
            <family val="2"/>
          </rPr>
          <t>Acuerdo: 002 del 19/03/2024
Valor: $ 19.200.000
Se recibe de: 
Desagregación presupuestal resolución 0219 del 06/06/2024</t>
        </r>
      </text>
    </comment>
    <comment ref="R129" authorId="1" shapeId="0">
      <text>
        <r>
          <rPr>
            <b/>
            <sz val="9"/>
            <color indexed="81"/>
            <rFont val="Tahoma"/>
            <family val="2"/>
          </rPr>
          <t xml:space="preserve">Acuerdo: 002 del 19/03/2024
Valor: $ 21.000.000
Se recibe de: 
Desagregación presupuestal resolución 0219 del 06/06/2024
</t>
        </r>
      </text>
    </comment>
    <comment ref="R130"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1"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1"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2" authorId="1" shapeId="0">
      <text>
        <r>
          <rPr>
            <b/>
            <sz val="9"/>
            <color indexed="81"/>
            <rFont val="Tahoma"/>
            <family val="2"/>
          </rPr>
          <t>Acuerdo: 002 del 19/03/2024
Valor: $ 12.000.000
Se recibe de: 
Desagregación presupuestal resolución 0219 del 06/06/202</t>
        </r>
      </text>
    </comment>
    <comment ref="M133"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3" authorId="1" shapeId="0">
      <text>
        <r>
          <rPr>
            <b/>
            <sz val="9"/>
            <color indexed="81"/>
            <rFont val="Tahoma"/>
            <family val="2"/>
          </rPr>
          <t>Acuerdo: 002 del 19/03/2024
Valor: $45.000.000
Se recibe de: 
Desagregación presupuestal resolución 0219 del 06/06/2024</t>
        </r>
      </text>
    </comment>
    <comment ref="R134"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5"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36"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37" authorId="1" shapeId="0">
      <text>
        <r>
          <rPr>
            <b/>
            <sz val="9"/>
            <color indexed="81"/>
            <rFont val="Tahoma"/>
            <family val="2"/>
          </rPr>
          <t>Acuerdo: 002 del 19/03/2024
Valor: $ 48.000.000
Se recibe de: 
Desagregación presupuestal resolución 0219 del 06/06/2024</t>
        </r>
      </text>
    </comment>
    <comment ref="R138" authorId="1" shapeId="0">
      <text>
        <r>
          <rPr>
            <b/>
            <sz val="9"/>
            <color indexed="81"/>
            <rFont val="Tahoma"/>
            <family val="2"/>
          </rPr>
          <t>Acuerdo: 002 del 19/03/2024
Valor: $ 48.000.000
Se recibe de: 
Desagregación presupuestal resolución 0219 del 06/06/2024</t>
        </r>
      </text>
    </comment>
    <comment ref="R139" authorId="1" shapeId="0">
      <text>
        <r>
          <rPr>
            <b/>
            <sz val="9"/>
            <color indexed="81"/>
            <rFont val="Tahoma"/>
            <family val="2"/>
          </rPr>
          <t>Acuerdo: 002 del 19/03/2024
Valor: $ 32.000.000
Se recibe de: 
Desagregación presupuestal resolución 0219 del 06/06/2024</t>
        </r>
      </text>
    </comment>
    <comment ref="R140"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1" authorId="1" shapeId="0">
      <text>
        <r>
          <rPr>
            <b/>
            <sz val="9"/>
            <color indexed="81"/>
            <rFont val="Tahoma"/>
            <family val="2"/>
          </rPr>
          <t>Oficio:117348
Valor: $ 0
Se cambia código UNSCP: 80101600</t>
        </r>
      </text>
    </comment>
    <comment ref="R141"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Desagregación presupuestal resolución 0219 del 06/06/2024</t>
        </r>
      </text>
    </comment>
    <comment ref="R142"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3"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4"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4"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M146"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46"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47"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text>
    </comment>
    <comment ref="R148"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49"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1"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3"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7" authorId="1" shapeId="0">
      <text>
        <r>
          <rPr>
            <b/>
            <sz val="9"/>
            <color indexed="81"/>
            <rFont val="Tahoma"/>
            <family val="2"/>
          </rPr>
          <t>Acuerdo: 002 del 19/03/2024
Valor: $23.233.334
Se recibe de: 
Desagregación presupuestal resolución 0219 del 06/06/2024</t>
        </r>
      </text>
    </comment>
    <comment ref="R158"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59" authorId="1" shapeId="0">
      <text>
        <r>
          <rPr>
            <b/>
            <sz val="9"/>
            <color indexed="81"/>
            <rFont val="Tahoma"/>
            <family val="2"/>
          </rPr>
          <t xml:space="preserve">Acuerdo: 002 del 19/03/2024
Valor: $ 34.390.000
Se recibe de: 
Desagregación presupuestal resolución 0219 del 06/06/2024
</t>
        </r>
      </text>
    </comment>
    <comment ref="M161"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1" authorId="1" shapeId="0">
      <text>
        <r>
          <rPr>
            <b/>
            <sz val="9"/>
            <color indexed="81"/>
            <rFont val="Tahoma"/>
            <family val="2"/>
          </rPr>
          <t>Acuerdo: 002 del 19/03/2024
Valor: $34.200.000
Se recibe de: 
Desagregación presupuestal resolución 0219 del 06/06/2024</t>
        </r>
      </text>
    </comment>
    <comment ref="R162" authorId="1" shapeId="0">
      <text>
        <r>
          <rPr>
            <b/>
            <sz val="9"/>
            <color indexed="81"/>
            <rFont val="Tahoma"/>
            <family val="2"/>
          </rPr>
          <t xml:space="preserve">Acuerdo: 002 del 19/03/2024
Valor: $ 15.000.000
Se recibe de: 
Desagregación presupuestal resolución 0219 del 06/06/2024
</t>
        </r>
      </text>
    </comment>
    <comment ref="R163"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4"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t>
        </r>
      </text>
    </comment>
    <comment ref="R166" authorId="1" shapeId="0">
      <text>
        <r>
          <rPr>
            <b/>
            <sz val="9"/>
            <color indexed="81"/>
            <rFont val="Tahoma"/>
            <family val="2"/>
          </rPr>
          <t xml:space="preserve">Acuerdo: 002 del 19/03/2024
Valor: $ 10.000.000
Se recibe de: 
Desagregación presupuestal resolución 0219 del 06/06/2024
</t>
        </r>
      </text>
    </comment>
    <comment ref="R168"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3" authorId="1" shapeId="0">
      <text>
        <r>
          <rPr>
            <b/>
            <sz val="9"/>
            <color indexed="81"/>
            <rFont val="Tahoma"/>
            <family val="2"/>
          </rPr>
          <t xml:space="preserve">Acuerdo: 002 del 19/03/2024
Valor: $6.800.000
Se recibe de: 
Desagregación presupuestal resolución 0219 del 06/06/2024
</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5" authorId="1" shapeId="0">
      <text>
        <r>
          <rPr>
            <b/>
            <sz val="9"/>
            <color indexed="81"/>
            <rFont val="Tahoma"/>
            <family val="2"/>
          </rPr>
          <t xml:space="preserve">Acuerdo: 002 del 19/03/2024
Valor: $6.800.000
Se recibe de: 
Desagregación presupuestal resolución 0219 del 06/06/2024
</t>
        </r>
      </text>
    </comment>
    <comment ref="R182"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87" authorId="1" shapeId="0">
      <text>
        <r>
          <rPr>
            <b/>
            <sz val="9"/>
            <color indexed="81"/>
            <rFont val="Tahoma"/>
            <family val="2"/>
          </rPr>
          <t xml:space="preserve">Acuerdo: 002 del 19/03/2024
Valor: $ 10.000.000
Se recibe de: 
Desagregación presupuestal resolución 0219 del 06/06/2024
</t>
        </r>
      </text>
    </comment>
    <comment ref="R191" authorId="1" shapeId="0">
      <text>
        <r>
          <rPr>
            <b/>
            <sz val="9"/>
            <color indexed="81"/>
            <rFont val="Tahoma"/>
            <family val="2"/>
          </rPr>
          <t xml:space="preserve">Acuerdo: 002 del 19/03/2024
Valor: $ 80.000.000
Se recibe de: 
Desagregación presupuestal resolución 0219 del 06/06/2024
</t>
        </r>
        <r>
          <rPr>
            <sz val="9"/>
            <color indexed="81"/>
            <rFont val="Tahoma"/>
            <family val="2"/>
          </rPr>
          <t xml:space="preserve">
</t>
        </r>
      </text>
    </comment>
    <comment ref="S195"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198"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S19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M204"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05" authorId="1" shapeId="0">
      <text>
        <r>
          <rPr>
            <b/>
            <sz val="9"/>
            <color indexed="81"/>
            <rFont val="Tahoma"/>
            <family val="2"/>
          </rPr>
          <t xml:space="preserve">Acuerdo: 002 del 19/03/2024
Valor: $ 20.000.000
Se recibe de: 
Desagregación presupuestal resolución 0219 del 06/06/2024
</t>
        </r>
      </text>
    </comment>
    <comment ref="R215" authorId="1" shapeId="0">
      <text>
        <r>
          <rPr>
            <b/>
            <sz val="9"/>
            <color indexed="81"/>
            <rFont val="Tahoma"/>
            <family val="2"/>
          </rPr>
          <t xml:space="preserve">Acuerdo: 002 del 19/03/2024
Valor: $50.000.000
Se recibe de: 
Desagregación presupuestal resolución 0219 del 06/06/2024
</t>
        </r>
      </text>
    </comment>
    <comment ref="R217"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$185.000.000</t>
        </r>
      </text>
    </comment>
    <comment ref="R24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5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t>
        </r>
        <r>
          <rPr>
            <b/>
            <sz val="10"/>
            <color indexed="81"/>
            <rFont val="Tahoma"/>
            <family val="2"/>
          </rPr>
          <t>Valor: $</t>
        </r>
        <r>
          <rPr>
            <sz val="10"/>
            <color indexed="81"/>
            <rFont val="Tahoma"/>
            <family val="2"/>
          </rPr>
          <t>303.699.713</t>
        </r>
        <r>
          <rPr>
            <b/>
            <sz val="10"/>
            <color indexed="81"/>
            <rFont val="Tahoma"/>
            <family val="2"/>
          </rPr>
          <t xml:space="preserve">
</t>
        </r>
        <r>
          <rPr>
            <sz val="12"/>
            <color indexed="81"/>
            <rFont val="Tahoma"/>
            <family val="2"/>
          </rPr>
          <t xml:space="preserve">
</t>
        </r>
      </text>
    </comment>
    <comment ref="R25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S25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S255"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70"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78" authorId="1" shapeId="0">
      <text>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82"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289"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290"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290"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S296"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297"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29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00"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01"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02"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03"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S30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04"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S304"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0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1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21" authorId="1" shapeId="0">
      <text>
        <r>
          <rPr>
            <b/>
            <sz val="9"/>
            <color indexed="81"/>
            <rFont val="Tahoma"/>
            <family val="2"/>
          </rPr>
          <t xml:space="preserve">Acuerdo: 002 del 19/03/2024
Valor: $ 40.000.000
Se recibe de: 
Desagregación presupuestal resolución 0219 del 06/06/2024
</t>
        </r>
      </text>
    </comment>
    <comment ref="R32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2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3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4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5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5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5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5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5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5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5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5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5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5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6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6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6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6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V36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65"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65" authorId="3" shapeId="0">
      <text>
        <r>
          <rPr>
            <sz val="9"/>
            <color indexed="81"/>
            <rFont val="Tahoma"/>
            <family val="2"/>
          </rPr>
          <t xml:space="preserve">Oficio: 97846
Valor: 773.272.719,77
Se cambie el valor de la vigencia fututa.
</t>
        </r>
      </text>
    </comment>
    <comment ref="V365"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6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67" authorId="3" shapeId="0">
      <text>
        <r>
          <rPr>
            <sz val="9"/>
            <color indexed="81"/>
            <rFont val="Tahoma"/>
            <family val="2"/>
          </rPr>
          <t>Oficio: 97846
Valor: 510.274.233,07
Se cambie el valor de la vigencia fututa.</t>
        </r>
      </text>
    </comment>
    <comment ref="V36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69"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70"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71"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77"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378"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79"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80"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8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83"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384"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385" authorId="3" shapeId="0">
      <text>
        <r>
          <rPr>
            <sz val="9"/>
            <color indexed="81"/>
            <rFont val="Tahoma"/>
            <family val="2"/>
          </rPr>
          <t xml:space="preserve">Oficio: 97846
Se incluye: Codigos UNSPSC
Fecha estimada
Mes publicacion
Duracion 
Modalidad
Si require vigencia futura
Valor vigencia futura
</t>
        </r>
      </text>
    </comment>
    <comment ref="N385" authorId="3" shapeId="0">
      <text>
        <r>
          <rPr>
            <sz val="9"/>
            <color indexed="81"/>
            <rFont val="Tahoma"/>
            <family val="2"/>
          </rPr>
          <t>Oficio: 97846
Se incluye: Codigos UNSPSC
Fecha estimada
Mes publicacion
Duracion 
Modalidad
Si require vigencia futura
Valor vigencia futura</t>
        </r>
      </text>
    </comment>
    <comment ref="O385" authorId="3" shapeId="0">
      <text>
        <r>
          <rPr>
            <sz val="9"/>
            <color indexed="81"/>
            <rFont val="Tahoma"/>
            <family val="2"/>
          </rPr>
          <t>Oficio: 97846
Se incluye: Codigos UNSPSC
Fecha estimada
Mes publicacion
Duracion 
Modalidad
Si require vigencia futura
Valor vigencia futura</t>
        </r>
      </text>
    </comment>
    <comment ref="P385" authorId="3" shapeId="0">
      <text>
        <r>
          <rPr>
            <sz val="9"/>
            <color indexed="81"/>
            <rFont val="Tahoma"/>
            <family val="2"/>
          </rPr>
          <t>Oficio: 97846
Se incluye: Codigos UNSPSC
Fecha estimada
Mes publicacion
Duracion 
Modalidad
Si require vigencia futura
Valor vigencia futura</t>
        </r>
      </text>
    </comment>
    <comment ref="Q385" authorId="3" shapeId="0">
      <text>
        <r>
          <rPr>
            <sz val="9"/>
            <color indexed="81"/>
            <rFont val="Tahoma"/>
            <family val="2"/>
          </rPr>
          <t>Oficio: 97846
Se incluye: Codigos UNSPSC
Fecha estimada
Mes publicacion
Duracion 
Modalidad
Si require vigencia futura
Valor vigencia futura</t>
        </r>
      </text>
    </comment>
    <comment ref="R385"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385" authorId="3" shapeId="0">
      <text>
        <r>
          <rPr>
            <sz val="9"/>
            <color indexed="81"/>
            <rFont val="Tahoma"/>
            <family val="2"/>
          </rPr>
          <t xml:space="preserve">Oficio: 97846
Se incluye: Codigos UNSPSC
Fecha estimada
Mes publicacion
Duracion 
Modalidad
Si require vigencia futura
Valor vigencia futura
</t>
        </r>
      </text>
    </comment>
    <comment ref="V385"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L386" authorId="3" shapeId="0">
      <text>
        <r>
          <rPr>
            <sz val="9"/>
            <color indexed="81"/>
            <rFont val="Tahoma"/>
            <family val="2"/>
          </rPr>
          <t>Oficio: 97846
Se incluye: Codigos UNSPSC
Fecha estimada
Mes publicacion
Duracion 
Modalidad
Si require vigencia futura
Valor vigencia futura</t>
        </r>
      </text>
    </comment>
    <comment ref="N386" authorId="3" shapeId="0">
      <text>
        <r>
          <rPr>
            <sz val="9"/>
            <color indexed="81"/>
            <rFont val="Tahoma"/>
            <family val="2"/>
          </rPr>
          <t xml:space="preserve">Oficio: 97846
Se incluye: Codigos UNSPSC
Fecha estimada
Mes publicacion
Duracion 
Modalidad
Si require vigencia futura
Valor vigencia futura
</t>
        </r>
      </text>
    </comment>
    <comment ref="O386" authorId="3" shapeId="0">
      <text>
        <r>
          <rPr>
            <sz val="9"/>
            <color indexed="81"/>
            <rFont val="Tahoma"/>
            <family val="2"/>
          </rPr>
          <t xml:space="preserve">Oficio: 97846
Se incluye: Codigos UNSPSC
Fecha estimada
Mes publicacion
Duracion 
Modalidad
Si require vigencia futura
Valor vigencia futura
</t>
        </r>
      </text>
    </comment>
    <comment ref="P386" authorId="3" shapeId="0">
      <text>
        <r>
          <rPr>
            <sz val="9"/>
            <color indexed="81"/>
            <rFont val="Tahoma"/>
            <family val="2"/>
          </rPr>
          <t>Oficio: 97846
Se incluye: Codigos UNSPSC
Fecha estimada
Mes publicacion
Duracion 
Modalidad
Si require vigencia futura
Valor vigencia futura</t>
        </r>
      </text>
    </comment>
    <comment ref="Q386" authorId="3" shapeId="0">
      <text>
        <r>
          <rPr>
            <b/>
            <sz val="9"/>
            <color indexed="81"/>
            <rFont val="Tahoma"/>
            <family val="2"/>
          </rPr>
          <t>Oficio: 97846
Se incluye: Codigos UNSPSC
Fecha estimada
Mes publicacion
Duracion 
Modalidad
Si require vigencia futura
Valor vigencia futura</t>
        </r>
      </text>
    </comment>
    <comment ref="R38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386" authorId="3" shapeId="0">
      <text>
        <r>
          <rPr>
            <sz val="9"/>
            <color indexed="81"/>
            <rFont val="Tahoma"/>
            <family val="2"/>
          </rPr>
          <t>Oficio: 97846
Se incluye: Codigos UNSPSC
Fecha estimada
Mes publicacion
Duracion 
Modalidad
Si require vigencia futura
Valor vigencia futura</t>
        </r>
      </text>
    </comment>
    <comment ref="V38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87"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389"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List>
</comments>
</file>

<file path=xl/sharedStrings.xml><?xml version="1.0" encoding="utf-8"?>
<sst xmlns="http://schemas.openxmlformats.org/spreadsheetml/2006/main" count="168775" uniqueCount="113358">
  <si>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</si>
  <si>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</si>
  <si>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</si>
  <si>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</si>
  <si>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</si>
  <si>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</si>
  <si>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</si>
  <si>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</si>
  <si>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</si>
  <si>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</si>
  <si>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</si>
  <si>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</si>
  <si>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</si>
  <si>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</si>
  <si>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</si>
  <si>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</si>
  <si>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</si>
  <si>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</si>
  <si>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</si>
  <si>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</si>
  <si>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</si>
  <si>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</si>
  <si>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</si>
  <si>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</si>
  <si>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</si>
  <si>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</si>
  <si>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</si>
  <si>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</si>
  <si>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</si>
  <si>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</si>
  <si>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</si>
  <si>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</si>
  <si>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</si>
  <si>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</si>
  <si>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</si>
  <si>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</si>
  <si>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</si>
  <si>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</si>
  <si>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</si>
  <si>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</si>
  <si>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</si>
  <si>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</si>
  <si>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</si>
  <si>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</si>
  <si>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</si>
  <si>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</si>
  <si>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</si>
  <si>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</si>
  <si>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</si>
  <si>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</si>
  <si>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</si>
  <si>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</si>
  <si>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</si>
  <si>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</si>
  <si>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</si>
  <si>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</si>
  <si>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</si>
  <si>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</si>
  <si>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</si>
  <si>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</si>
  <si>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</si>
  <si>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</si>
  <si>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</si>
  <si>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</si>
  <si>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</si>
  <si>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</si>
  <si>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</si>
  <si>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</si>
  <si>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</si>
  <si>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</si>
  <si>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</si>
  <si>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</si>
  <si>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</si>
  <si>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</si>
  <si>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</si>
  <si>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</si>
  <si>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</si>
  <si>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</si>
  <si>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</si>
  <si>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</si>
  <si>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</si>
  <si>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</si>
  <si>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</si>
  <si>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</si>
  <si>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</si>
  <si>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</si>
  <si>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</si>
  <si>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</si>
  <si>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</si>
  <si>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</si>
  <si>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</si>
  <si>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</si>
  <si>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</si>
  <si>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</si>
  <si>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</si>
  <si>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</si>
  <si>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</si>
  <si>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</si>
  <si>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</si>
  <si>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</si>
  <si>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</si>
  <si>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</si>
  <si>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</si>
  <si>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</si>
  <si>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</si>
  <si>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</si>
  <si>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</si>
  <si>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</si>
  <si>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</si>
  <si>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</si>
  <si>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</si>
  <si>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</si>
  <si>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</si>
  <si>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</si>
  <si>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</si>
  <si>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</si>
  <si>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</si>
  <si>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</si>
  <si>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</si>
  <si>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</si>
  <si>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</si>
  <si>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</si>
  <si>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</si>
  <si>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</si>
  <si>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</si>
  <si>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</si>
  <si>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</si>
  <si>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</si>
  <si>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</si>
  <si>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</si>
  <si>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</si>
  <si>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</si>
  <si>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</si>
  <si>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</si>
  <si>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</si>
  <si>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</si>
  <si>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</si>
  <si>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</si>
  <si>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</si>
  <si>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</si>
  <si>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</si>
  <si>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</si>
  <si>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</si>
  <si>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</si>
  <si>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</si>
  <si>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</si>
  <si>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</si>
  <si>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</si>
  <si>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</si>
  <si>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</si>
  <si>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</si>
  <si>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</si>
  <si>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</si>
  <si>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</si>
  <si>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</si>
  <si>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</si>
  <si>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</si>
  <si>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</si>
  <si>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</si>
  <si>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</si>
  <si>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</si>
  <si>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</si>
  <si>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</si>
  <si>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</si>
  <si>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</si>
  <si>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</si>
  <si>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</si>
  <si>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</si>
  <si>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</si>
  <si>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</si>
  <si>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</si>
  <si>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</si>
  <si>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</si>
  <si>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</si>
  <si>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</si>
  <si>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</si>
  <si>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</si>
  <si>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</si>
  <si>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</si>
  <si>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</si>
  <si>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</si>
  <si>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</si>
  <si>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</si>
  <si>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</si>
  <si>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</si>
  <si>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</si>
  <si>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</si>
  <si>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</si>
  <si>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</si>
  <si>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</si>
  <si>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</si>
  <si>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</si>
  <si>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</si>
  <si>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</si>
  <si>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</si>
  <si>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</si>
  <si>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</si>
  <si>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</si>
  <si>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</si>
  <si>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</si>
  <si>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</si>
  <si>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</si>
  <si>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</si>
  <si>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</si>
  <si>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</si>
  <si>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</si>
  <si>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</si>
  <si>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</si>
  <si>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</si>
  <si>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</si>
  <si>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</si>
  <si>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</si>
  <si>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</si>
  <si>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</si>
  <si>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</si>
  <si>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</si>
  <si>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</si>
  <si>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</si>
  <si>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</si>
  <si>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</si>
  <si>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</si>
  <si>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</si>
  <si>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</si>
  <si>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</si>
  <si>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</si>
  <si>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</si>
  <si>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</si>
  <si>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</si>
  <si>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</si>
  <si>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</si>
  <si>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</si>
  <si>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</si>
  <si>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</si>
  <si>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</si>
  <si>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</si>
  <si>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</si>
  <si>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</si>
  <si>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</si>
  <si>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</si>
  <si>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</si>
  <si>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</si>
  <si>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</si>
  <si>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</si>
  <si>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</si>
  <si>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</si>
  <si>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</si>
  <si>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</si>
  <si>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</si>
  <si>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</si>
  <si>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</si>
  <si>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</si>
  <si>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</si>
  <si>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</si>
  <si>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</si>
  <si>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</si>
  <si>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</si>
  <si>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</si>
  <si>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</si>
  <si>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</si>
  <si>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</si>
  <si>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</si>
  <si>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</si>
  <si>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</si>
  <si>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</si>
  <si>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</si>
  <si>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</si>
  <si>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</si>
  <si>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</si>
  <si>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</si>
  <si>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</si>
  <si>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</si>
  <si>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</si>
  <si>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</si>
  <si>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</si>
  <si>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</si>
  <si>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</si>
  <si>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</si>
  <si>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</si>
  <si>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</si>
  <si>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</si>
  <si>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</si>
  <si>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</si>
  <si>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</si>
  <si>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</si>
  <si>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</si>
  <si>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</si>
  <si>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</si>
  <si>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</si>
  <si>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</si>
  <si>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</si>
  <si>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</si>
  <si>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</si>
  <si>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</si>
  <si>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</si>
  <si>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</si>
  <si>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</si>
  <si>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</si>
  <si>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</si>
  <si>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</si>
  <si>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</si>
  <si>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</si>
  <si>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</si>
  <si>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</si>
  <si>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</si>
  <si>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</si>
  <si>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</si>
  <si>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</si>
  <si>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</si>
  <si>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</si>
  <si>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</si>
  <si>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</si>
  <si>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</si>
  <si>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</si>
  <si>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</si>
  <si>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</si>
  <si>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</si>
  <si>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</si>
  <si>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</si>
  <si>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</si>
  <si>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</si>
  <si>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</si>
  <si>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</si>
  <si>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</si>
  <si>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</si>
  <si>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</si>
  <si>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</si>
  <si>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</si>
  <si>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</si>
  <si>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</si>
  <si>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</si>
  <si>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</si>
  <si>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</si>
  <si>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</si>
  <si>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</si>
  <si>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</si>
  <si>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</si>
  <si>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</si>
  <si>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</si>
  <si>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</si>
  <si>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</si>
  <si>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</si>
  <si>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</si>
  <si>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</si>
  <si>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</si>
  <si>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</si>
  <si>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</si>
  <si>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</si>
  <si>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</si>
  <si>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</si>
  <si>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</si>
  <si>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</si>
  <si>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</si>
  <si>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</si>
  <si>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</si>
  <si>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</si>
  <si>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</si>
  <si>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</si>
  <si>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</si>
  <si>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</si>
  <si>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</si>
  <si>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</si>
  <si>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</si>
  <si>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</si>
  <si>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</si>
  <si>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</si>
  <si>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</si>
  <si>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</si>
  <si>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</si>
  <si>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</si>
  <si>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</si>
  <si>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</si>
  <si>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</si>
  <si>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</si>
  <si>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</si>
  <si>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</si>
  <si>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</si>
  <si>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</si>
  <si>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</si>
  <si>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</si>
  <si>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</si>
  <si>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</si>
  <si>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</si>
  <si>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</si>
  <si>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</si>
  <si>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</si>
  <si>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</si>
  <si>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</si>
  <si>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</si>
  <si>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</si>
  <si>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</si>
  <si>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</si>
  <si>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</si>
  <si>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</si>
  <si>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</si>
  <si>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</si>
  <si>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</si>
  <si>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</si>
  <si>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</si>
  <si>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</si>
  <si>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</si>
  <si>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</si>
  <si>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</si>
  <si>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</si>
  <si>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</si>
  <si>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</si>
  <si>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</si>
  <si>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</si>
  <si>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</si>
  <si>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</si>
  <si>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</si>
  <si>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</si>
  <si>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</si>
  <si>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</si>
  <si>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</si>
  <si>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</si>
  <si>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</si>
  <si>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</si>
  <si>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</si>
  <si>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</si>
  <si>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</si>
  <si>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</si>
  <si>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</si>
  <si>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</si>
  <si>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</si>
  <si>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</si>
  <si>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</si>
  <si>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</si>
  <si>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</si>
  <si>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</si>
  <si>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</si>
  <si>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</si>
  <si>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</si>
  <si>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</si>
  <si>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</si>
  <si>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</si>
  <si>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</si>
  <si>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</si>
  <si>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</si>
  <si>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</si>
  <si>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</si>
  <si>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</si>
  <si>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</si>
  <si>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</si>
  <si>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</si>
  <si>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</si>
  <si>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</si>
  <si>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</si>
  <si>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</si>
  <si>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</si>
  <si>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</si>
  <si>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</si>
  <si>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</si>
  <si>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</si>
  <si>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</si>
  <si>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</si>
  <si>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</si>
  <si>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</si>
  <si>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</si>
  <si>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</si>
  <si>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</si>
  <si>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</si>
  <si>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</si>
  <si>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</si>
  <si>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</si>
  <si>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</si>
  <si>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</si>
  <si>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</si>
  <si>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</si>
  <si>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</si>
  <si>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</si>
  <si>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</si>
  <si>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</si>
  <si>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</si>
  <si>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</si>
  <si>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</si>
  <si>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</si>
  <si>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</si>
  <si>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</si>
  <si>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</si>
  <si>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</si>
  <si>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</si>
  <si>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</si>
  <si>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</si>
  <si>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</si>
  <si>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</si>
  <si>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</si>
  <si>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</si>
  <si>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</si>
  <si>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</si>
  <si>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</si>
  <si>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</si>
  <si>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</si>
  <si>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</si>
  <si>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</si>
  <si>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</si>
  <si>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</si>
  <si>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</si>
  <si>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</si>
  <si>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</si>
  <si>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</si>
  <si>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</si>
  <si>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</si>
  <si>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</si>
  <si>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</si>
  <si>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</si>
  <si>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</si>
  <si>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</si>
  <si>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</si>
  <si>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</si>
  <si>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</si>
  <si>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</si>
  <si>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</si>
  <si>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</si>
  <si>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</si>
  <si>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</si>
  <si>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</si>
  <si>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</si>
  <si>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</si>
  <si>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</si>
  <si>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</si>
  <si>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</si>
  <si>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</si>
  <si>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</si>
  <si>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</si>
  <si>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</si>
  <si>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</si>
  <si>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</si>
  <si>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</si>
  <si>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</si>
  <si>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</si>
  <si>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</si>
  <si>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</si>
  <si>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</si>
  <si>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</si>
  <si>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</si>
  <si>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</si>
  <si>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</si>
  <si>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</si>
  <si>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</si>
  <si>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</si>
  <si>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</si>
  <si>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</si>
  <si>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</si>
  <si>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</si>
  <si>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</si>
  <si>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</si>
  <si>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</si>
  <si>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</si>
  <si>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</si>
  <si>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</si>
  <si>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</si>
  <si>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</si>
  <si>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</si>
  <si>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</si>
  <si>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</si>
  <si>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</si>
  <si>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</si>
  <si>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</si>
  <si>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</si>
  <si>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</si>
  <si>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</si>
  <si>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</si>
  <si>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</si>
  <si>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</si>
  <si>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</si>
  <si>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</si>
  <si>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</si>
  <si>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</si>
  <si>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</si>
  <si>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</si>
  <si>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</si>
  <si>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</si>
  <si>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</si>
  <si>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</si>
  <si>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</si>
  <si>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</si>
  <si>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</si>
  <si>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</si>
  <si>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</si>
  <si>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</si>
  <si>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</si>
  <si>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</si>
  <si>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</si>
  <si>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</si>
  <si>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</si>
  <si>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</si>
  <si>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</si>
  <si>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</si>
  <si>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</si>
  <si>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</si>
  <si>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</si>
  <si>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</si>
  <si>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</si>
  <si>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</si>
  <si>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</si>
  <si>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</si>
  <si>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</si>
  <si>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</si>
  <si>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</si>
  <si>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</si>
  <si>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</si>
  <si>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</si>
  <si>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</si>
  <si>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</si>
  <si>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</si>
  <si>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</si>
  <si>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</si>
  <si>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</si>
  <si>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</si>
  <si>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</si>
  <si>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</si>
  <si>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</si>
  <si>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</si>
  <si>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</si>
  <si>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</si>
  <si>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</si>
  <si>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</si>
  <si>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</si>
  <si>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</si>
  <si>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</si>
  <si>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</si>
  <si>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</si>
  <si>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</si>
  <si>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</si>
  <si>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</si>
  <si>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</si>
  <si>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</si>
  <si>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</si>
  <si>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</si>
  <si>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</si>
  <si>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</si>
  <si>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</si>
  <si>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</si>
  <si>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</si>
  <si>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</si>
  <si>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</si>
  <si>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</si>
  <si>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</si>
  <si>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</si>
  <si>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</si>
  <si>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</si>
  <si>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</si>
  <si>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</si>
  <si>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</si>
  <si>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</si>
  <si>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</si>
  <si>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</si>
  <si>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</si>
  <si>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</si>
  <si>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</si>
  <si>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</si>
  <si>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</si>
  <si>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</si>
  <si>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</si>
  <si>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</si>
  <si>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</si>
  <si>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</si>
  <si>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</si>
  <si>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</si>
  <si>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</si>
  <si>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</si>
  <si>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</si>
  <si>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</si>
  <si>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</si>
  <si>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</si>
  <si>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</si>
  <si>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</si>
  <si>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</si>
  <si>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</si>
  <si>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</si>
  <si>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</si>
  <si>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</si>
  <si>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</si>
  <si>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</si>
  <si>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</si>
  <si>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</si>
  <si>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</si>
  <si>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</si>
  <si>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</si>
  <si>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</si>
  <si>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</si>
  <si>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</si>
  <si>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</si>
  <si>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</si>
  <si>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</si>
  <si>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</si>
  <si>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</si>
  <si>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</si>
  <si>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</si>
  <si>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</si>
  <si>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</si>
  <si>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</si>
  <si>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</si>
  <si>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</si>
  <si>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</si>
  <si>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</si>
  <si>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</si>
  <si>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</si>
  <si>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</si>
  <si>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</si>
  <si>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</si>
  <si>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</si>
  <si>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</si>
  <si>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</si>
  <si>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</si>
  <si>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</si>
  <si>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</si>
  <si>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</si>
  <si>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</si>
  <si>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</si>
  <si>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</si>
  <si>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</si>
  <si>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</si>
  <si>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</si>
  <si>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</si>
  <si>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</si>
  <si>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</si>
  <si>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</si>
  <si>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</si>
  <si>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</si>
  <si>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</si>
  <si>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</si>
  <si>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</si>
  <si>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</si>
  <si>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</si>
  <si>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</si>
  <si>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</si>
  <si>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</si>
  <si>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</si>
  <si>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</si>
  <si>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</si>
  <si>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</si>
  <si>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</si>
  <si>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</si>
  <si>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</si>
  <si>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</si>
  <si>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</si>
  <si>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</si>
  <si>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</si>
  <si>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</si>
  <si>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</si>
  <si>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</si>
  <si>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</si>
  <si>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</si>
  <si>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</si>
  <si>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</si>
  <si>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</si>
  <si>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</si>
  <si>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</si>
  <si>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</si>
  <si>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</si>
  <si>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</si>
  <si>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</si>
  <si>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</si>
  <si>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</si>
  <si>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</si>
  <si>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</si>
  <si>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</si>
  <si>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</si>
  <si>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</si>
  <si>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</si>
  <si>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</si>
  <si>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</si>
  <si>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</si>
  <si>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</si>
  <si>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</si>
  <si>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</si>
  <si>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</si>
  <si>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</si>
  <si>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</si>
  <si>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</si>
  <si>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</si>
  <si>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</si>
  <si>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</si>
  <si>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</si>
  <si>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</si>
  <si>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</si>
  <si>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</si>
  <si>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</si>
  <si>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</si>
  <si>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</si>
  <si>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</si>
  <si>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</si>
  <si>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</si>
  <si>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</si>
  <si>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</si>
  <si>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</si>
  <si>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</si>
  <si>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</si>
  <si>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</si>
  <si>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</si>
  <si>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</si>
  <si>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</si>
  <si>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</si>
  <si>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</si>
  <si>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</si>
  <si>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</si>
  <si>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</si>
  <si>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</si>
  <si>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</si>
  <si>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</si>
  <si>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</si>
  <si>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</si>
  <si>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</si>
  <si>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</si>
  <si>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</si>
  <si>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</si>
  <si>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</si>
  <si>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</si>
  <si>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</si>
  <si>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</si>
  <si>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</si>
  <si>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</si>
  <si>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</si>
  <si>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</si>
  <si>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</si>
  <si>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</si>
  <si>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</si>
  <si>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</si>
  <si>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</si>
  <si>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</si>
  <si>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</si>
  <si>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</si>
  <si>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</si>
  <si>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</si>
  <si>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</si>
  <si>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</si>
  <si>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</si>
  <si>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</si>
  <si>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</si>
  <si>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</si>
  <si>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</si>
  <si>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</si>
  <si>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</si>
  <si>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</si>
  <si>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</si>
  <si>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</si>
  <si>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</si>
  <si>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</si>
  <si>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</si>
  <si>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</si>
  <si>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</si>
  <si>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</si>
  <si>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</si>
  <si>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</si>
  <si>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</si>
  <si>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</si>
  <si>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</si>
  <si>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</si>
  <si>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</si>
  <si>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</si>
  <si>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</si>
  <si>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</si>
  <si>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</si>
  <si>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</si>
  <si>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</si>
  <si>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</si>
  <si>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</si>
  <si>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</si>
  <si>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</si>
  <si>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</si>
  <si>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</si>
  <si>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</si>
  <si>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</si>
  <si>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</si>
  <si>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</si>
  <si>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</si>
  <si>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</si>
  <si>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</si>
  <si>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</si>
  <si>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</si>
  <si>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</si>
  <si>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</si>
  <si>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</si>
  <si>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</si>
  <si>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</si>
  <si>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</si>
  <si>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</si>
  <si>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</si>
  <si>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</si>
  <si>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</si>
  <si>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</si>
  <si>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</si>
  <si>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</si>
  <si>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</si>
  <si>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</si>
  <si>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</si>
  <si>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</si>
  <si>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</si>
  <si>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</si>
  <si>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</si>
  <si>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</si>
  <si>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</si>
  <si>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</si>
  <si>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</si>
  <si>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</si>
  <si>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</si>
  <si>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</si>
  <si>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</si>
  <si>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</si>
  <si>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</si>
  <si>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</si>
  <si>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</si>
  <si>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</si>
  <si>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</si>
  <si>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</si>
  <si>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</si>
  <si>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</si>
  <si>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</si>
  <si>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</si>
  <si>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</si>
  <si>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</si>
  <si>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</si>
  <si>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</si>
  <si>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</si>
  <si>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</si>
  <si>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</si>
  <si>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</si>
  <si>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</si>
  <si>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</si>
  <si>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</si>
  <si>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</si>
  <si>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</si>
  <si>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</si>
  <si>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</si>
  <si>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</si>
  <si>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</si>
  <si>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</si>
  <si>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</si>
  <si>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</si>
  <si>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</si>
  <si>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</si>
  <si>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</si>
  <si>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</si>
  <si>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</si>
  <si>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</si>
  <si>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</si>
  <si>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</si>
  <si>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</si>
  <si>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</si>
  <si>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</si>
  <si>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</si>
  <si>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</si>
  <si>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</si>
  <si>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</si>
  <si>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</si>
  <si>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</si>
  <si>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</si>
  <si>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</si>
  <si>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</si>
  <si>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</si>
  <si>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</si>
  <si>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</si>
  <si>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</si>
  <si>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</si>
  <si>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</si>
  <si>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</si>
  <si>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</si>
  <si>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</si>
  <si>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</si>
  <si>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</si>
  <si>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</si>
  <si>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</si>
  <si>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</si>
  <si>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</si>
  <si>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</si>
  <si>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</si>
  <si>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</si>
  <si>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</si>
  <si>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</si>
  <si>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</si>
  <si>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</si>
  <si>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</si>
  <si>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</si>
  <si>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</si>
  <si>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</si>
  <si>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</si>
  <si>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</si>
  <si>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</si>
  <si>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</si>
  <si>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</si>
  <si>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</si>
  <si>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</si>
  <si>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</si>
  <si>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</si>
  <si>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</si>
  <si>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</si>
  <si>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</si>
  <si>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</si>
  <si>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</si>
  <si>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</si>
  <si>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</si>
  <si>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</si>
  <si>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</si>
  <si>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</si>
  <si>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</si>
  <si>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</si>
  <si>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</si>
  <si>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</si>
  <si>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</si>
  <si>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</si>
  <si>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</si>
  <si>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</si>
  <si>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</si>
  <si>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</si>
  <si>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</si>
  <si>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</si>
  <si>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</si>
  <si>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</si>
  <si>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</si>
  <si>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</si>
  <si>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</si>
  <si>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</si>
  <si>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</si>
  <si>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</si>
  <si>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</si>
  <si>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</si>
  <si>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</si>
  <si>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</si>
  <si>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</si>
  <si>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</si>
  <si>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</si>
  <si>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</si>
  <si>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</si>
  <si>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</si>
  <si>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</si>
  <si>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</si>
  <si>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</si>
  <si>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</si>
  <si>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</si>
  <si>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</si>
  <si>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</si>
  <si>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</si>
  <si>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</si>
  <si>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</si>
  <si>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</si>
  <si>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</si>
  <si>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</si>
  <si>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</si>
  <si>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</si>
  <si>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</si>
  <si>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</si>
  <si>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</si>
  <si>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</si>
  <si>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</si>
  <si>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</si>
  <si>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</si>
  <si>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</si>
  <si>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</si>
  <si>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</si>
  <si>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</si>
  <si>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</si>
  <si>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</si>
  <si>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</si>
  <si>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</si>
  <si>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</si>
  <si>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</si>
  <si>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</si>
  <si>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</si>
  <si>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</si>
  <si>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</si>
  <si>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</si>
  <si>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</si>
  <si>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</si>
  <si>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</si>
  <si>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</si>
  <si>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</si>
  <si>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</si>
  <si>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</si>
  <si>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</si>
  <si>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</si>
  <si>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</si>
  <si>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</si>
  <si>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</si>
  <si>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</si>
  <si>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</si>
  <si>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</si>
  <si>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</si>
  <si>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</si>
  <si>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</si>
  <si>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</si>
  <si>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</si>
  <si>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</si>
  <si>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</si>
  <si>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</si>
  <si>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</si>
  <si>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</si>
  <si>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</si>
  <si>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</si>
  <si>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</si>
  <si>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</si>
  <si>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</si>
  <si>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</si>
  <si>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</si>
  <si>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</si>
  <si>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</si>
  <si>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</si>
  <si>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</si>
  <si>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</si>
  <si>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</si>
  <si>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</si>
  <si>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</si>
  <si>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</si>
  <si>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</si>
  <si>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</si>
  <si>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</si>
  <si>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</si>
  <si>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</si>
  <si>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</si>
  <si>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</si>
  <si>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</si>
  <si>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</si>
  <si>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</si>
  <si>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</si>
  <si>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</si>
  <si>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</si>
  <si>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</si>
  <si>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</si>
  <si>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</si>
  <si>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</si>
  <si>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</si>
  <si>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</si>
  <si>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</si>
  <si>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</si>
  <si>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</si>
  <si>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</si>
  <si>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</si>
  <si>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</si>
  <si>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</si>
  <si>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</si>
  <si>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</si>
  <si>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</si>
  <si>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</si>
  <si>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</si>
  <si>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</si>
  <si>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</si>
  <si>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</si>
  <si>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</si>
  <si>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</si>
  <si>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</si>
  <si>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</si>
  <si>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</si>
  <si>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</si>
  <si>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</si>
  <si>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</si>
  <si>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</si>
  <si>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</si>
  <si>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</si>
  <si>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</si>
  <si>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</si>
  <si>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</si>
  <si>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</si>
  <si>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</si>
  <si>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</si>
  <si>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</si>
  <si>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</si>
  <si>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</si>
  <si>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</si>
  <si>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</si>
  <si>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</si>
  <si>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</si>
  <si>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</si>
  <si>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</si>
  <si>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</si>
  <si>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</si>
  <si>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</si>
  <si>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</si>
  <si>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</si>
  <si>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</si>
  <si>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</si>
  <si>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</si>
  <si>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</si>
  <si>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</si>
  <si>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</si>
  <si>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</si>
  <si>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</si>
  <si>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</si>
  <si>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</si>
  <si>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</si>
  <si>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</si>
  <si>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</si>
  <si>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</si>
  <si>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</si>
  <si>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</si>
  <si>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</si>
  <si>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</si>
  <si>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</si>
  <si>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</si>
  <si>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</si>
  <si>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</si>
  <si>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</si>
  <si>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</si>
  <si>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</si>
  <si>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</si>
  <si>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</si>
  <si>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</si>
  <si>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</si>
  <si>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</si>
  <si>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</si>
  <si>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</si>
  <si>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</si>
  <si>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</si>
  <si>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</si>
  <si>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</si>
  <si>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</si>
  <si>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</si>
  <si>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</si>
  <si>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</si>
  <si>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</si>
  <si>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</si>
  <si>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</si>
  <si>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</si>
  <si>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</si>
  <si>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</si>
  <si>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</si>
  <si>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</si>
  <si>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</si>
  <si>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</si>
  <si>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</si>
  <si>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</si>
  <si>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</si>
  <si>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</si>
  <si>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</si>
  <si>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</si>
  <si>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</si>
  <si>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</si>
  <si>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</si>
  <si>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</si>
  <si>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</si>
  <si>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</si>
  <si>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</si>
  <si>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</si>
  <si>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</si>
  <si>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</si>
  <si>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</si>
  <si>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</si>
  <si>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</si>
  <si>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</si>
  <si>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</si>
  <si>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</si>
  <si>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</si>
  <si>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</si>
  <si>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</si>
  <si>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</si>
  <si>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</si>
  <si>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</si>
  <si>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</si>
  <si>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</si>
  <si>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</si>
  <si>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</si>
  <si>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</si>
  <si>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</si>
  <si>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</si>
  <si>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</si>
  <si>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</si>
  <si>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</si>
  <si>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</si>
  <si>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</si>
  <si>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</si>
  <si>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</si>
  <si>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</si>
  <si>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</si>
  <si>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</si>
  <si>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</si>
  <si>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</si>
  <si>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</si>
  <si>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</si>
  <si>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</si>
  <si>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</si>
  <si>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</si>
  <si>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</si>
  <si>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</si>
  <si>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</si>
  <si>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</si>
  <si>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</si>
  <si>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</si>
  <si>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</si>
  <si>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</si>
  <si>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</si>
  <si>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</si>
  <si>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</si>
  <si>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</si>
  <si>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</si>
  <si>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</si>
  <si>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</si>
  <si>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</si>
  <si>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</si>
  <si>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</si>
  <si>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</si>
  <si>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</si>
  <si>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</si>
  <si>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</si>
  <si>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</si>
  <si>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</si>
  <si>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</si>
  <si>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</si>
  <si>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</si>
  <si>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</si>
  <si>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</si>
  <si>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</si>
  <si>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</si>
  <si>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</si>
  <si>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</si>
  <si>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</si>
  <si>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</si>
  <si>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</si>
  <si>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</si>
  <si>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</si>
  <si>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</si>
  <si>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</si>
  <si>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</si>
  <si>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</si>
  <si>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</si>
  <si>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</si>
  <si>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</si>
  <si>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</si>
  <si>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</si>
  <si>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</si>
  <si>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</si>
  <si>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</si>
  <si>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</si>
  <si>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</si>
  <si>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</si>
  <si>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</si>
  <si>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</si>
  <si>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</si>
  <si>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</si>
  <si>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</si>
  <si>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</si>
  <si>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</si>
  <si>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</si>
  <si>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</si>
  <si>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</si>
  <si>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</si>
  <si>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</si>
  <si>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</si>
  <si>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</si>
  <si>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</si>
  <si>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</si>
  <si>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</si>
  <si>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</si>
  <si>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</si>
  <si>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</si>
  <si>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</si>
  <si>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</si>
  <si>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</si>
  <si>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</si>
  <si>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</si>
  <si>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</si>
  <si>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</si>
  <si>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</si>
  <si>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</si>
  <si>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</si>
  <si>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</si>
  <si>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</si>
  <si>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</si>
  <si>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</si>
  <si>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</si>
  <si>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</si>
  <si>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</si>
  <si>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</si>
  <si>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</si>
  <si>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</si>
  <si>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</si>
  <si>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</si>
  <si>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</si>
  <si>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</si>
  <si>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</si>
  <si>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</si>
  <si>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</si>
  <si>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</si>
  <si>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</si>
  <si>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</si>
  <si>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</si>
  <si>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</si>
  <si>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</si>
  <si>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</si>
  <si>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</si>
  <si>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</si>
  <si>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</si>
  <si>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</si>
  <si>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</si>
  <si>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</si>
  <si>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</si>
  <si>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</si>
  <si>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</si>
  <si>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</si>
  <si>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</si>
  <si>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</si>
  <si>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</si>
  <si>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</si>
  <si>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</si>
  <si>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</si>
  <si>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</si>
  <si>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</si>
  <si>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</si>
  <si>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</si>
  <si>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</si>
  <si>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</si>
  <si>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</si>
  <si>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</si>
  <si>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</si>
  <si>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</si>
  <si>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</si>
  <si>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</si>
  <si>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</si>
  <si>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</si>
  <si>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</si>
  <si>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</si>
  <si>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</si>
  <si>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</si>
  <si>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</si>
  <si>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</si>
  <si>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</si>
  <si>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</si>
  <si>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</si>
  <si>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</si>
  <si>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</si>
  <si>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</si>
  <si>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</si>
  <si>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</si>
  <si>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</si>
  <si>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</si>
  <si>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</si>
  <si>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</si>
  <si>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</si>
  <si>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</si>
  <si>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</si>
  <si>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</si>
  <si>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</si>
  <si>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</si>
  <si>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</si>
  <si>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</si>
  <si>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</si>
  <si>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</si>
  <si>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</si>
  <si>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</si>
  <si>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</si>
  <si>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</si>
  <si>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</si>
  <si>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</si>
  <si>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</si>
  <si>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</si>
  <si>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</si>
  <si>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</si>
  <si>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</si>
  <si>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</si>
  <si>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</si>
  <si>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</si>
  <si>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</si>
  <si>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</si>
  <si>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</si>
  <si>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</si>
  <si>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</si>
  <si>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</si>
  <si>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</si>
  <si>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</si>
  <si>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</si>
  <si>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</si>
  <si>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</si>
  <si>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</si>
  <si>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</si>
  <si>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</si>
  <si>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</si>
  <si>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</si>
  <si>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</si>
  <si>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</si>
  <si>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</si>
  <si>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</si>
  <si>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</si>
  <si>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</si>
  <si>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</si>
  <si>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</si>
  <si>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</si>
  <si>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</si>
  <si>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</si>
  <si>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</si>
  <si>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</si>
  <si>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</si>
  <si>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</si>
  <si>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</si>
  <si>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</si>
  <si>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</si>
  <si>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</si>
  <si>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</si>
  <si>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</si>
  <si>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</si>
  <si>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</si>
  <si>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</si>
  <si>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</si>
  <si>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</si>
  <si>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</si>
  <si>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</si>
  <si>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</si>
  <si>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</si>
  <si>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</si>
  <si>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</si>
  <si>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</si>
  <si>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</si>
  <si>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</si>
  <si>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</si>
  <si>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</si>
  <si>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</si>
  <si>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</si>
  <si>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</si>
  <si>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</si>
  <si>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</si>
  <si>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</si>
  <si>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</si>
  <si>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</si>
  <si>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</si>
  <si>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</si>
  <si>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</si>
  <si>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</si>
  <si>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</si>
  <si>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</si>
  <si>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</si>
  <si>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</si>
  <si>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</si>
  <si>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</si>
  <si>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</si>
  <si>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</si>
  <si>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</si>
  <si>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</si>
  <si>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</si>
  <si>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</si>
  <si>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</si>
  <si>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</si>
  <si>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</si>
  <si>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</si>
  <si>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</si>
  <si>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</si>
  <si>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</si>
  <si>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</si>
  <si>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</si>
  <si>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</si>
  <si>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</si>
  <si>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</si>
  <si>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</si>
  <si>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</si>
  <si>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</si>
  <si>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</si>
  <si>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</si>
  <si>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</si>
  <si>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</si>
  <si>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</si>
  <si>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</si>
  <si>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</si>
  <si>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</si>
  <si>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</si>
  <si>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</si>
  <si>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</si>
  <si>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</si>
  <si>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</si>
  <si>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</si>
  <si>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</si>
  <si>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</si>
  <si>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</si>
  <si>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</si>
  <si>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</si>
  <si>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</si>
  <si>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</si>
  <si>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</si>
  <si>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</si>
  <si>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</si>
  <si>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</si>
  <si>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</si>
  <si>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</si>
  <si>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</si>
  <si>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</si>
  <si>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</si>
  <si>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</si>
  <si>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</si>
  <si>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</si>
  <si>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</si>
  <si>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</si>
  <si>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</si>
  <si>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</si>
  <si>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</si>
  <si>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</si>
  <si>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</si>
  <si>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</si>
  <si>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</si>
  <si>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</si>
  <si>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</si>
  <si>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</si>
  <si>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</si>
  <si>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</si>
  <si>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</si>
  <si>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</si>
  <si>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</si>
  <si>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</si>
  <si>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</si>
  <si>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</si>
  <si>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</si>
  <si>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</si>
  <si>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</si>
  <si>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</si>
  <si>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</si>
  <si>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</si>
  <si>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</si>
  <si>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</si>
  <si>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</si>
  <si>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</si>
  <si>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</si>
  <si>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</si>
  <si>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</si>
  <si>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</si>
  <si>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</si>
  <si>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</si>
  <si>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</si>
  <si>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</si>
  <si>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</si>
  <si>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</si>
  <si>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</si>
  <si>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</si>
  <si>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</si>
  <si>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</si>
  <si>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</si>
  <si>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</si>
  <si>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</si>
  <si>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</si>
  <si>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</si>
  <si>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</si>
  <si>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</si>
  <si>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</si>
  <si>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</si>
  <si>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</si>
  <si>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</si>
  <si>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</si>
  <si>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</si>
  <si>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</si>
  <si>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</si>
  <si>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</si>
  <si>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</si>
  <si>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</si>
  <si>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</si>
  <si>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</si>
  <si>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</si>
  <si>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</si>
  <si>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</si>
  <si>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</si>
  <si>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</si>
  <si>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</si>
  <si>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</si>
  <si>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</si>
  <si>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</si>
  <si>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</si>
  <si>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</si>
  <si>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</si>
  <si>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</si>
  <si>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</si>
  <si>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</si>
  <si>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</si>
  <si>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</si>
  <si>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</si>
  <si>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</si>
  <si>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</si>
  <si>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</si>
  <si>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</si>
  <si>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</si>
  <si>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</si>
  <si>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</si>
  <si>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</si>
  <si>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</si>
  <si>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</si>
  <si>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</si>
  <si>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</si>
  <si>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</si>
  <si>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</si>
  <si>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</si>
  <si>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</si>
  <si>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</si>
  <si>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</si>
  <si>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</si>
  <si>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</si>
  <si>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</si>
  <si>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</si>
  <si>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</si>
  <si>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</si>
  <si>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</si>
  <si>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</si>
  <si>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</si>
  <si>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</si>
  <si>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</si>
  <si>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</si>
  <si>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</si>
  <si>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</si>
  <si>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</si>
  <si>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</si>
  <si>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</si>
  <si>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</si>
  <si>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</si>
  <si>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</si>
  <si>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</si>
  <si>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</si>
  <si>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</si>
  <si>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</si>
  <si>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</si>
  <si>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</si>
  <si>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</si>
  <si>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</si>
  <si>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</si>
  <si>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</si>
  <si>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</si>
  <si>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</si>
  <si>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</si>
  <si>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</si>
  <si>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</si>
  <si>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</si>
  <si>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</si>
  <si>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</si>
  <si>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</si>
  <si>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</si>
  <si>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</si>
  <si>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</si>
  <si>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</si>
  <si>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</si>
  <si>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</si>
  <si>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</si>
  <si>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</si>
  <si>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</si>
  <si>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</si>
  <si>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</si>
  <si>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</si>
  <si>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</si>
  <si>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</si>
  <si>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</si>
  <si>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</si>
  <si>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</si>
  <si>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</si>
  <si>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</si>
  <si>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</si>
  <si>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</si>
  <si>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</si>
  <si>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</si>
  <si>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</si>
  <si>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</si>
  <si>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</si>
  <si>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</si>
  <si>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</si>
  <si>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</si>
  <si>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</si>
  <si>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</si>
  <si>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</si>
  <si>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</si>
  <si>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</si>
  <si>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</si>
  <si>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</si>
  <si>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</si>
  <si>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</si>
  <si>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</si>
  <si>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</si>
  <si>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</si>
  <si>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</si>
  <si>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</si>
  <si>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</si>
  <si>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</si>
  <si>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</si>
  <si>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</si>
  <si>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</si>
  <si>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</si>
  <si>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</si>
  <si>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</si>
  <si>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</si>
  <si>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</si>
  <si>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</si>
  <si>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</si>
  <si>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</si>
  <si>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</si>
  <si>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</si>
  <si>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</si>
  <si>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</si>
  <si>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</si>
  <si>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</si>
  <si>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</si>
  <si>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</si>
  <si>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</si>
  <si>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</si>
  <si>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</si>
  <si>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</si>
  <si>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</si>
  <si>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</si>
  <si>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</si>
  <si>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</si>
  <si>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</si>
  <si>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</si>
  <si>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</si>
  <si>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</si>
  <si>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</si>
  <si>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</si>
  <si>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</si>
  <si>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</si>
  <si>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</si>
  <si>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</si>
  <si>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</si>
  <si>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</si>
  <si>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</si>
  <si>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</si>
  <si>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</si>
  <si>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</si>
  <si>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</si>
  <si>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</si>
  <si>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</si>
  <si>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</si>
  <si>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</si>
  <si>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</si>
  <si>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</si>
  <si>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</si>
  <si>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</si>
  <si>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</si>
  <si>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</si>
  <si>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</si>
  <si>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</si>
  <si>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</si>
  <si>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</si>
  <si>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</si>
  <si>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</si>
  <si>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</si>
  <si>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</si>
  <si>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</si>
  <si>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</si>
  <si>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</si>
  <si>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</si>
  <si>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</si>
  <si>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</si>
  <si>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</si>
  <si>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</si>
  <si>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</si>
  <si>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</si>
  <si>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</si>
  <si>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</si>
  <si>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</si>
  <si>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</si>
  <si>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</si>
  <si>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</si>
  <si>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</si>
  <si>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</si>
  <si>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</si>
  <si>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</si>
  <si>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</si>
  <si>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</si>
  <si>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</si>
  <si>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</si>
  <si>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</si>
  <si>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</si>
  <si>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</si>
  <si>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</si>
  <si>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</si>
  <si>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</si>
  <si>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</si>
  <si>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</si>
  <si>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</si>
  <si>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</si>
  <si>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</si>
  <si>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</si>
  <si>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</si>
  <si>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</si>
  <si>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</si>
  <si>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</si>
  <si>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</si>
  <si>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</si>
  <si>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</si>
  <si>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</si>
  <si>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</si>
  <si>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</si>
  <si>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</si>
  <si>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</si>
  <si>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</si>
  <si>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</si>
  <si>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</si>
  <si>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</si>
  <si>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</si>
  <si>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</si>
  <si>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</si>
  <si>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</si>
  <si>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</si>
  <si>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</si>
  <si>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</si>
  <si>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</si>
  <si>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</si>
  <si>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</si>
  <si>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</si>
  <si>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</si>
  <si>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</si>
  <si>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</si>
  <si>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</si>
  <si>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</si>
  <si>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</si>
  <si>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</si>
  <si>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</si>
  <si>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</si>
  <si>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</si>
  <si>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</si>
  <si>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</si>
  <si>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</si>
  <si>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</si>
  <si>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</si>
  <si>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</si>
  <si>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</si>
  <si>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</si>
  <si>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</si>
  <si>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</si>
  <si>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</si>
  <si>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</si>
  <si>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</si>
  <si>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</si>
  <si>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</si>
  <si>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</si>
  <si>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</si>
  <si>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</si>
  <si>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</si>
  <si>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</si>
  <si>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</si>
  <si>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</si>
  <si>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</si>
  <si>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</si>
  <si>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</si>
  <si>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</si>
  <si>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</si>
  <si>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</si>
  <si>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</si>
  <si>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</si>
  <si>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</si>
  <si>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</si>
  <si>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</si>
  <si>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</si>
  <si>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</si>
  <si>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</si>
  <si>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</si>
  <si>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</si>
  <si>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</si>
  <si>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</si>
  <si>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</si>
  <si>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</si>
  <si>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</si>
  <si>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</si>
  <si>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</si>
  <si>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</si>
  <si>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</si>
  <si>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</si>
  <si>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</si>
  <si>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</si>
  <si>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</si>
  <si>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</si>
  <si>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</si>
  <si>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</si>
  <si>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</si>
  <si>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</si>
  <si>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</si>
  <si>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</si>
  <si>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</si>
  <si>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</si>
  <si>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</si>
  <si>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</si>
  <si>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</si>
  <si>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</si>
  <si>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</si>
  <si>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</si>
  <si>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</si>
  <si>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</si>
  <si>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</si>
  <si>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</si>
  <si>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</si>
  <si>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</si>
  <si>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</si>
  <si>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</si>
  <si>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</si>
  <si>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</si>
  <si>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</si>
  <si>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</si>
  <si>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</si>
  <si>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</si>
  <si>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</si>
  <si>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</si>
  <si>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</si>
  <si>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</si>
  <si>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</si>
  <si>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</si>
  <si>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</si>
  <si>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</si>
  <si>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</si>
  <si>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</si>
  <si>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</si>
  <si>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</si>
  <si>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</si>
  <si>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</si>
  <si>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</si>
  <si>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</si>
  <si>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</si>
  <si>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</si>
  <si>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</si>
  <si>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</si>
  <si>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</si>
  <si>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</si>
  <si>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</si>
  <si>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</si>
  <si>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</si>
  <si>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</si>
  <si>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</si>
  <si>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</si>
  <si>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</si>
  <si>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</si>
  <si>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</si>
  <si>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</si>
  <si>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</si>
  <si>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</si>
  <si>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</si>
  <si>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</si>
  <si>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</si>
  <si>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</si>
  <si>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</si>
  <si>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</si>
  <si>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</si>
  <si>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</si>
  <si>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</si>
  <si>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</si>
  <si>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</si>
  <si>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</si>
  <si>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</si>
  <si>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</si>
  <si>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</si>
  <si>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</si>
  <si>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</si>
  <si>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</si>
  <si>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</si>
  <si>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</si>
  <si>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</si>
  <si>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</si>
  <si>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</si>
  <si>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</si>
  <si>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</si>
  <si>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</si>
  <si>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</si>
  <si>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</si>
  <si>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</si>
  <si>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</si>
  <si>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</si>
  <si>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</si>
  <si>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</si>
  <si>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</si>
  <si>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</si>
  <si>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</si>
  <si>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</si>
  <si>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</si>
  <si>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</si>
  <si>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</si>
  <si>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</si>
  <si>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</si>
  <si>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</si>
  <si>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</si>
  <si>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</si>
  <si>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</si>
  <si>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</si>
  <si>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</si>
  <si>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</si>
  <si>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</si>
  <si>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</si>
  <si>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</si>
  <si>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</si>
  <si>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</si>
  <si>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</si>
  <si>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</si>
  <si>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</si>
  <si>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</si>
  <si>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</si>
  <si>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</si>
  <si>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</si>
  <si>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</si>
  <si>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</si>
  <si>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</si>
  <si>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</si>
  <si>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</si>
  <si>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</si>
  <si>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</si>
  <si>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</si>
  <si>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</si>
  <si>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</si>
  <si>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</si>
  <si>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</si>
  <si>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</si>
  <si>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</si>
  <si>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</si>
  <si>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</si>
  <si>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</si>
  <si>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</si>
  <si>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</si>
  <si>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</si>
  <si>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</si>
  <si>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</si>
  <si>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</si>
  <si>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</si>
  <si>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</si>
  <si>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</si>
  <si>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</si>
  <si>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</si>
  <si>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</si>
  <si>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</si>
  <si>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</si>
  <si>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</si>
  <si>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</si>
  <si>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</si>
  <si>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</si>
  <si>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</si>
  <si>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</si>
  <si>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</si>
  <si>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</si>
  <si>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</si>
  <si>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</si>
  <si>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</si>
  <si>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</si>
  <si>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</si>
  <si>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</si>
  <si>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</si>
  <si>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</si>
  <si>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</si>
  <si>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</si>
  <si>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</si>
  <si>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</si>
  <si>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</si>
  <si>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</si>
  <si>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</si>
  <si>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</si>
  <si>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</si>
  <si>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</si>
  <si>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</si>
  <si>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</si>
  <si>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</si>
  <si>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</si>
  <si>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</si>
  <si>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</si>
  <si>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</si>
  <si>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</si>
  <si>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</si>
  <si>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</si>
  <si>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</si>
  <si>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</si>
  <si>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</si>
  <si>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</si>
  <si>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</si>
  <si>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</si>
  <si>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</si>
  <si>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</si>
  <si>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</si>
  <si>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</si>
  <si>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</si>
  <si>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</si>
  <si>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</si>
  <si>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</si>
  <si>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</si>
  <si>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</si>
  <si>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</si>
  <si>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</si>
  <si>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</si>
  <si>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</si>
  <si>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</si>
  <si>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</si>
  <si>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</si>
  <si>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</si>
  <si>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</si>
  <si>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</si>
  <si>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</si>
  <si>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</si>
  <si>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</si>
  <si>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</si>
  <si>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</si>
  <si>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</si>
  <si>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</si>
  <si>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</si>
  <si>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</si>
  <si>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</si>
  <si>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</si>
  <si>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</si>
  <si>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</si>
  <si>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</si>
  <si>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</si>
  <si>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</si>
  <si>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</si>
  <si>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</si>
  <si>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</si>
  <si>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</si>
  <si>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</si>
  <si>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</si>
  <si>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</si>
  <si>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</si>
  <si>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</si>
  <si>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</si>
  <si>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</si>
  <si>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</si>
  <si>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</si>
  <si>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</si>
  <si>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</si>
  <si>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</si>
  <si>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</si>
  <si>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</si>
  <si>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</si>
  <si>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</si>
  <si>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</si>
  <si>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</si>
  <si>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</si>
  <si>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</si>
  <si>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</si>
  <si>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</si>
  <si>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</si>
  <si>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</si>
  <si>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</si>
  <si>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</si>
  <si>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</si>
  <si>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</si>
  <si>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</si>
  <si>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</si>
  <si>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</si>
  <si>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</si>
  <si>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</si>
  <si>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</si>
  <si>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</si>
  <si>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</si>
  <si>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</si>
  <si>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</si>
  <si>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</si>
  <si>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</si>
  <si>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</si>
  <si>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</si>
  <si>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</si>
  <si>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</si>
  <si>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</si>
  <si>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</si>
  <si>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</si>
  <si>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</si>
  <si>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</si>
  <si>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</si>
  <si>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</si>
  <si>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</si>
  <si>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</si>
  <si>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</si>
  <si>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</si>
  <si>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</si>
  <si>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</si>
  <si>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</si>
  <si>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</si>
  <si>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</si>
  <si>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</si>
  <si>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</si>
  <si>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</si>
  <si>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</si>
  <si>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</si>
  <si>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</si>
  <si>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</si>
  <si>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</si>
  <si>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</si>
  <si>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</si>
  <si>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</si>
  <si>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</si>
  <si>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</si>
  <si>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</si>
  <si>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</si>
  <si>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</si>
  <si>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</si>
  <si>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</si>
  <si>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</si>
  <si>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</si>
  <si>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</si>
  <si>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</si>
  <si>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</si>
  <si>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</si>
  <si>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</si>
  <si>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</si>
  <si>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</si>
  <si>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</si>
  <si>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</si>
  <si>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</si>
  <si>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</si>
  <si>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</si>
  <si>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</si>
  <si>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</si>
  <si>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</si>
  <si>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</si>
  <si>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</si>
  <si>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</si>
  <si>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</si>
  <si>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</si>
  <si>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</si>
  <si>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</si>
  <si>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</si>
  <si>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</si>
  <si>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</si>
  <si>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</si>
  <si>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</si>
  <si>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</si>
  <si>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</si>
  <si>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</si>
  <si>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</si>
  <si>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</si>
  <si>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</si>
  <si>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</si>
  <si>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</si>
  <si>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</si>
  <si>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</si>
  <si>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</si>
  <si>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</si>
  <si>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</si>
  <si>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</si>
  <si>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</si>
  <si>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</si>
  <si>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</si>
  <si>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</si>
  <si>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</si>
  <si>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</si>
  <si>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</si>
  <si>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</si>
  <si>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</si>
  <si>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</si>
  <si>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</si>
  <si>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</si>
  <si>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</si>
  <si>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</si>
  <si>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</si>
  <si>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</si>
  <si>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</si>
  <si>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</si>
  <si>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</si>
  <si>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</si>
  <si>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</si>
  <si>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</si>
  <si>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</si>
  <si>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</si>
  <si>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</si>
  <si>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</si>
  <si>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</si>
  <si>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</si>
  <si>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</si>
  <si>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</si>
  <si>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</si>
  <si>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</si>
  <si>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</si>
  <si>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</si>
  <si>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</si>
  <si>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</si>
  <si>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</si>
  <si>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</si>
  <si>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</si>
  <si>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</si>
  <si>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</si>
  <si>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</si>
  <si>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</si>
  <si>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</si>
  <si>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</si>
  <si>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</si>
  <si>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</si>
  <si>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</si>
  <si>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</si>
  <si>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</si>
  <si>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</si>
  <si>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</si>
  <si>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</si>
  <si>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</si>
  <si>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</si>
  <si>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</si>
  <si>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</si>
  <si>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</si>
  <si>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</si>
  <si>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</si>
  <si>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</si>
  <si>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</si>
  <si>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</si>
  <si>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</si>
  <si>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</si>
  <si>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</si>
  <si>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</si>
  <si>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</si>
  <si>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</si>
  <si>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</si>
  <si>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</si>
  <si>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</si>
  <si>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</si>
  <si>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</si>
  <si>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</si>
  <si>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</si>
  <si>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</si>
  <si>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</si>
  <si>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</si>
  <si>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</si>
  <si>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</si>
  <si>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</si>
  <si>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</si>
  <si>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</si>
  <si>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</si>
  <si>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</si>
  <si>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</si>
  <si>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</si>
  <si>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</si>
  <si>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</si>
  <si>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</si>
  <si>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</si>
  <si>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</si>
  <si>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</si>
  <si>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</si>
  <si>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</si>
  <si>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</si>
  <si>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</si>
  <si>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</si>
  <si>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</si>
  <si>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</si>
  <si>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</si>
  <si>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</si>
  <si>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</si>
  <si>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</si>
  <si>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</si>
  <si>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</si>
  <si>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</si>
  <si>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</si>
  <si>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</si>
  <si>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</si>
  <si>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</si>
  <si>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</si>
  <si>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</si>
  <si>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</si>
  <si>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</si>
  <si>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</si>
  <si>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</si>
  <si>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</si>
  <si>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</si>
  <si>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</si>
  <si>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</si>
  <si>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</si>
  <si>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</si>
  <si>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</si>
  <si>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</si>
  <si>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</si>
  <si>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</si>
  <si>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</si>
  <si>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</si>
  <si>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</si>
  <si>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</si>
  <si>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</si>
  <si>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</si>
  <si>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</si>
  <si>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</si>
  <si>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</si>
  <si>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</si>
  <si>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</si>
  <si>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</si>
  <si>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</si>
  <si>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</si>
  <si>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</si>
  <si>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</si>
  <si>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</si>
  <si>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</si>
  <si>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</si>
  <si>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</si>
  <si>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</si>
  <si>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</si>
  <si>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</si>
  <si>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</si>
  <si>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</si>
  <si>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</si>
  <si>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</si>
  <si>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</si>
  <si>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</si>
  <si>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</si>
  <si>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</si>
  <si>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</si>
  <si>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</si>
  <si>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</si>
  <si>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</si>
  <si>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</si>
  <si>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</si>
  <si>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</si>
  <si>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</si>
  <si>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</si>
  <si>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</si>
  <si>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</si>
  <si>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</si>
  <si>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</si>
  <si>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</si>
  <si>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</si>
  <si>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</si>
  <si>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</si>
  <si>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</si>
  <si>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</si>
  <si>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</si>
  <si>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</si>
  <si>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</si>
  <si>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</si>
  <si>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</si>
  <si>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</si>
  <si>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</si>
  <si>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</si>
  <si>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</si>
  <si>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</si>
  <si>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</si>
  <si>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</si>
  <si>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</si>
  <si>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</si>
  <si>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</si>
  <si>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</si>
  <si>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</si>
  <si>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</si>
  <si>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</si>
  <si>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</si>
  <si>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</si>
  <si>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</si>
  <si>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</si>
  <si>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</si>
  <si>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</si>
  <si>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</si>
  <si>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</si>
  <si>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</si>
  <si>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</si>
  <si>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</si>
  <si>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</si>
  <si>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</si>
  <si>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</si>
  <si>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</si>
  <si>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</si>
  <si>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</si>
  <si>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</si>
  <si>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</si>
  <si>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</si>
  <si>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</si>
  <si>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</si>
  <si>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</si>
  <si>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</si>
  <si>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</si>
  <si>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</si>
  <si>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</si>
  <si>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</si>
  <si>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</si>
  <si>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</si>
  <si>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</si>
  <si>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</si>
  <si>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</si>
  <si>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</si>
  <si>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</si>
  <si>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</si>
  <si>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</si>
  <si>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</si>
  <si>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</si>
  <si>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</si>
  <si>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</si>
  <si>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</si>
  <si>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</si>
  <si>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</si>
  <si>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</si>
  <si>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</si>
  <si>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</si>
  <si>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</si>
  <si>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</si>
  <si>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</si>
  <si>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</si>
  <si>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</si>
  <si>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</si>
  <si>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</si>
  <si>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</si>
  <si>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</si>
  <si>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</si>
  <si>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</si>
  <si>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</si>
  <si>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</si>
  <si>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</si>
  <si>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</si>
  <si>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</si>
  <si>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</si>
  <si>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</si>
  <si>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</si>
  <si>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</si>
  <si>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</si>
  <si>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</si>
  <si>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</si>
  <si>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</si>
  <si>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</si>
  <si>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</si>
  <si>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</si>
  <si>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</si>
  <si>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</si>
  <si>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</si>
  <si>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</si>
  <si>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</si>
  <si>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</si>
  <si>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</si>
  <si>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</si>
  <si>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</si>
  <si>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</si>
  <si>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</si>
  <si>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</si>
  <si>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</si>
  <si>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</si>
  <si>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</si>
  <si>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</si>
  <si>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</si>
  <si>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</si>
  <si>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</si>
  <si>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</si>
  <si>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</si>
  <si>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</si>
  <si>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</si>
  <si>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</si>
  <si>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</si>
  <si>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</si>
  <si>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</si>
  <si>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</si>
  <si>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</si>
  <si>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</si>
  <si>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</si>
  <si>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</si>
  <si>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</si>
  <si>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</si>
  <si>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</si>
  <si>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</si>
  <si>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</si>
  <si>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</si>
  <si>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</si>
  <si>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</si>
  <si>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</si>
  <si>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</si>
  <si>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</si>
  <si>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</si>
  <si>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</si>
  <si>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</si>
  <si>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</si>
  <si>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</si>
  <si>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</si>
  <si>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</si>
  <si>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</si>
  <si>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</si>
  <si>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</si>
  <si>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</si>
  <si>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</si>
  <si>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</si>
  <si>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</si>
  <si>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</si>
  <si>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</si>
  <si>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</si>
  <si>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</si>
  <si>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</si>
  <si>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</si>
  <si>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</si>
  <si>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</si>
  <si>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</si>
  <si>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</si>
  <si>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</si>
  <si>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</si>
  <si>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</si>
  <si>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</si>
  <si>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</si>
  <si>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</si>
  <si>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</si>
  <si>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</si>
  <si>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</si>
  <si>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</si>
  <si>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</si>
  <si>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</si>
  <si>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</si>
  <si>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</si>
  <si>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</si>
  <si>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</si>
  <si>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</si>
  <si>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</si>
  <si>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</si>
  <si>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</si>
  <si>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</si>
  <si>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</si>
  <si>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</si>
  <si>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</si>
  <si>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</si>
  <si>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</si>
  <si>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</si>
  <si>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</si>
  <si>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</si>
  <si>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</si>
  <si>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</si>
  <si>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</si>
  <si>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</si>
  <si>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</si>
  <si>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</si>
  <si>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</si>
  <si>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</si>
  <si>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</si>
  <si>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</si>
  <si>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</si>
  <si>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</si>
  <si>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</si>
  <si>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</si>
  <si>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</si>
  <si>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</si>
  <si>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</si>
  <si>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</si>
  <si>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</si>
  <si>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</si>
  <si>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</si>
  <si>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</si>
  <si>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</si>
  <si>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</si>
  <si>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</si>
  <si>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</si>
  <si>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</si>
  <si>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</si>
  <si>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</si>
  <si>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</si>
  <si>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</si>
  <si>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</si>
  <si>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</si>
  <si>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</si>
  <si>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</si>
  <si>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</si>
  <si>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</si>
  <si>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</si>
  <si>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</si>
  <si>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</si>
  <si>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</si>
  <si>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</si>
  <si>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</si>
  <si>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</si>
  <si>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</si>
  <si>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</si>
  <si>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</si>
  <si>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</si>
  <si>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</si>
  <si>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</si>
  <si>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</si>
  <si>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</si>
  <si>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</si>
  <si>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</si>
  <si>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</si>
  <si>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</si>
  <si>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</si>
  <si>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</si>
  <si>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</si>
  <si>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</si>
  <si>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</si>
  <si>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</si>
  <si>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</si>
  <si>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</si>
  <si>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</si>
  <si>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</si>
  <si>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</si>
  <si>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</si>
  <si>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</si>
  <si>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</si>
  <si>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</si>
  <si>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</si>
  <si>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</si>
  <si>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</si>
  <si>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</si>
  <si>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</si>
  <si>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</si>
  <si>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</si>
  <si>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</si>
  <si>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</si>
  <si>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</si>
  <si>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</si>
  <si>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</si>
  <si>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</si>
  <si>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</si>
  <si>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</si>
  <si>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</si>
  <si>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</si>
  <si>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</si>
  <si>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</si>
  <si>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</si>
  <si>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</si>
  <si>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</si>
  <si>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</si>
  <si>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</si>
  <si>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</si>
  <si>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</si>
  <si>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</si>
  <si>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</si>
  <si>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</si>
  <si>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</si>
  <si>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</si>
  <si>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</si>
  <si>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</si>
  <si>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</si>
  <si>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</si>
  <si>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</si>
  <si>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</si>
  <si>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</si>
  <si>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</si>
  <si>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</si>
  <si>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</si>
  <si>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</si>
  <si>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</si>
  <si>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</si>
  <si>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</si>
  <si>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</si>
  <si>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</si>
  <si>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</si>
  <si>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</si>
  <si>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</si>
  <si>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</si>
  <si>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</si>
  <si>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</si>
  <si>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</si>
  <si>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</si>
  <si>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</si>
  <si>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</si>
  <si>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</si>
  <si>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</si>
  <si>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</si>
  <si>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</si>
  <si>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</si>
  <si>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</si>
  <si>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</si>
  <si>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</si>
  <si>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</si>
  <si>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</si>
  <si>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</si>
  <si>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</si>
  <si>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</si>
  <si>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</si>
  <si>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</si>
  <si>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</si>
  <si>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</si>
  <si>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</si>
  <si>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</si>
  <si>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</si>
  <si>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</si>
  <si>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</si>
  <si>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</si>
  <si>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</si>
  <si>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</si>
  <si>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</si>
  <si>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</si>
  <si>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</si>
  <si>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</si>
  <si>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</si>
  <si>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</si>
  <si>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</si>
  <si>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</si>
  <si>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</si>
  <si>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</si>
  <si>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</si>
  <si>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</si>
  <si>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</si>
  <si>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</si>
  <si>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</si>
  <si>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</si>
  <si>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</si>
  <si>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</si>
  <si>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</si>
  <si>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</si>
  <si>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</si>
  <si>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</si>
  <si>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</si>
  <si>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</si>
  <si>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</si>
  <si>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</si>
  <si>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</si>
  <si>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</si>
  <si>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</si>
  <si>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</si>
  <si>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</si>
  <si>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</si>
  <si>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</si>
  <si>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</si>
  <si>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</si>
  <si>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</si>
  <si>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</si>
  <si>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</si>
  <si>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</si>
  <si>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</si>
  <si>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</si>
  <si>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</si>
  <si>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</si>
  <si>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</si>
  <si>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</si>
  <si>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</si>
  <si>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</si>
  <si>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</si>
  <si>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</si>
  <si>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</si>
  <si>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</si>
  <si>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</si>
  <si>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</si>
  <si>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</si>
  <si>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</si>
  <si>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</si>
  <si>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</si>
  <si>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</si>
  <si>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</si>
  <si>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</si>
  <si>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</si>
  <si>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</si>
  <si>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</si>
  <si>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</si>
  <si>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</si>
  <si>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</si>
  <si>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</si>
  <si>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</si>
  <si>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</si>
  <si>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</si>
  <si>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</si>
  <si>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</si>
  <si>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</si>
  <si>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</si>
  <si>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</si>
  <si>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</si>
  <si>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</si>
  <si>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</si>
  <si>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</si>
  <si>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</si>
  <si>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</si>
  <si>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</si>
  <si>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</si>
  <si>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</si>
  <si>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</si>
  <si>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</si>
  <si>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</si>
  <si>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</si>
  <si>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</si>
  <si>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</si>
  <si>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</si>
  <si>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</si>
  <si>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</si>
  <si>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</si>
  <si>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</si>
  <si>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</si>
  <si>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</si>
  <si>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</si>
  <si>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</si>
  <si>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</si>
  <si>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</si>
  <si>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</si>
  <si>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</si>
  <si>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</si>
  <si>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</si>
  <si>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</si>
  <si>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</si>
  <si>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</si>
  <si>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</si>
  <si>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</si>
  <si>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</si>
  <si>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</si>
  <si>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</si>
  <si>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</si>
  <si>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</si>
  <si>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</si>
  <si>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</si>
  <si>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</si>
  <si>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</si>
  <si>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</si>
  <si>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</si>
  <si>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</si>
  <si>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</si>
  <si>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</si>
  <si>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</si>
  <si>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</si>
  <si>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</si>
  <si>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</si>
  <si>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</si>
  <si>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</si>
  <si>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</si>
  <si>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</si>
  <si>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</si>
  <si>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</si>
  <si>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</si>
  <si>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</si>
  <si>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</si>
  <si>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</si>
  <si>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</si>
  <si>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</si>
  <si>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</si>
  <si>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</si>
  <si>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</si>
  <si>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</si>
  <si>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</si>
  <si>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</si>
  <si>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</si>
  <si>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</si>
  <si>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</si>
  <si>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</si>
  <si>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</si>
  <si>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</si>
  <si>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</si>
  <si>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</si>
  <si>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</si>
  <si>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</si>
  <si>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</si>
  <si>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</si>
  <si>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</si>
  <si>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</si>
  <si>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</si>
  <si>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</si>
  <si>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</si>
  <si>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</si>
  <si>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</si>
  <si>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</si>
  <si>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</si>
  <si>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</si>
  <si>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</si>
  <si>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</si>
  <si>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</si>
  <si>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</si>
  <si>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</si>
  <si>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</si>
  <si>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</si>
  <si>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</si>
  <si>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</si>
  <si>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</si>
  <si>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</si>
  <si>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</si>
  <si>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</si>
  <si>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</si>
  <si>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</si>
  <si>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</si>
  <si>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</si>
  <si>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</si>
  <si>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</si>
  <si>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</si>
  <si>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</si>
  <si>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</si>
  <si>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</si>
  <si>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</si>
  <si>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</si>
  <si>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</si>
  <si>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</si>
  <si>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</si>
  <si>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</si>
  <si>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</si>
  <si>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</si>
  <si>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</si>
  <si>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</si>
  <si>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</si>
  <si>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</si>
  <si>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</si>
  <si>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</si>
  <si>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</si>
  <si>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</si>
  <si>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</si>
  <si>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</si>
  <si>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</si>
  <si>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</si>
  <si>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</si>
  <si>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</si>
  <si>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</si>
  <si>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</si>
  <si>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</si>
  <si>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</si>
  <si>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</si>
  <si>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</si>
  <si>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</si>
  <si>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</si>
  <si>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</si>
  <si>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</si>
  <si>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</si>
  <si>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</si>
  <si>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</si>
  <si>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</si>
  <si>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</si>
  <si>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</si>
  <si>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</si>
  <si>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</si>
  <si>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</si>
  <si>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</si>
  <si>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</si>
  <si>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</si>
  <si>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</si>
  <si>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</si>
  <si>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</si>
  <si>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</si>
  <si>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</si>
  <si>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</si>
  <si>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</si>
  <si>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</si>
  <si>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</si>
  <si>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</si>
  <si>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</si>
  <si>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</si>
  <si>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</si>
  <si>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</si>
  <si>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</si>
  <si>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</si>
  <si>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</si>
  <si>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</si>
  <si>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</si>
  <si>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</si>
  <si>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</si>
  <si>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</si>
  <si>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</si>
  <si>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</si>
  <si>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</si>
  <si>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</si>
  <si>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</si>
  <si>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</si>
  <si>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</si>
  <si>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</si>
  <si>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</si>
  <si>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</si>
  <si>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</si>
  <si>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</si>
  <si>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</si>
  <si>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</si>
  <si>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</si>
  <si>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</si>
  <si>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</si>
  <si>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</si>
  <si>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</si>
  <si>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</si>
  <si>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</si>
  <si>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</si>
  <si>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</si>
  <si>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</si>
  <si>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</si>
  <si>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</si>
  <si>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</si>
  <si>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</si>
  <si>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</si>
  <si>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</si>
  <si>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</si>
  <si>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</si>
  <si>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</si>
  <si>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</si>
  <si>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</si>
  <si>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</si>
  <si>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</si>
  <si>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</si>
  <si>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</si>
  <si>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</si>
  <si>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</si>
  <si>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</si>
  <si>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</si>
  <si>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</si>
  <si>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</si>
  <si>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</si>
  <si>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</si>
  <si>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</si>
  <si>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</si>
  <si>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</si>
  <si>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</si>
  <si>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</si>
  <si>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</si>
  <si>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</si>
  <si>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</si>
  <si>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</si>
  <si>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</si>
  <si>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</si>
  <si>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</si>
  <si>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</si>
  <si>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</si>
  <si>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</si>
  <si>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</si>
  <si>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</si>
  <si>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</si>
  <si>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</si>
  <si>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</si>
  <si>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</si>
  <si>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</si>
  <si>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</si>
  <si>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</si>
  <si>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</si>
  <si>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</si>
  <si>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</si>
  <si>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</si>
  <si>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</si>
  <si>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</si>
  <si>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</si>
  <si>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</si>
  <si>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</si>
  <si>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</si>
  <si>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</si>
  <si>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</si>
  <si>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</si>
  <si>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</si>
  <si>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</si>
  <si>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</si>
  <si>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</si>
  <si>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</si>
  <si>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</si>
  <si>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</si>
  <si>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</si>
  <si>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</si>
  <si>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</si>
  <si>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</si>
  <si>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</si>
  <si>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</si>
  <si>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</si>
  <si>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</si>
  <si>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</si>
  <si>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</si>
  <si>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</si>
  <si>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</si>
  <si>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</si>
  <si>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</si>
  <si>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</si>
  <si>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</si>
  <si>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</si>
  <si>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</si>
  <si>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</si>
  <si>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</si>
  <si>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</si>
  <si>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</si>
  <si>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</si>
  <si>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</si>
  <si>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</si>
  <si>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</si>
  <si>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</si>
  <si>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</si>
  <si>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</si>
  <si>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</si>
  <si>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</si>
  <si>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</si>
  <si>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</si>
  <si>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</si>
  <si>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</si>
  <si>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</si>
  <si>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</si>
  <si>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</si>
  <si>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</si>
  <si>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</si>
  <si>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</si>
  <si>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</si>
  <si>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</si>
  <si>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</si>
  <si>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</si>
  <si>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</si>
  <si>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</si>
  <si>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</si>
  <si>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</si>
  <si>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</si>
  <si>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</si>
  <si>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</si>
  <si>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</si>
  <si>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</si>
  <si>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</si>
  <si>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</si>
  <si>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</si>
  <si>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</si>
  <si>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</si>
  <si>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</si>
  <si>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</si>
  <si>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</si>
  <si>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</si>
  <si>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</si>
  <si>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</si>
  <si>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</si>
  <si>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</si>
  <si>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</si>
  <si>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</si>
  <si>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</si>
  <si>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</si>
  <si>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</si>
  <si>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</si>
  <si>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</si>
  <si>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</si>
  <si>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</si>
  <si>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</si>
  <si>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</si>
  <si>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</si>
  <si>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</si>
  <si>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</si>
  <si>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</si>
  <si>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</si>
  <si>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</si>
  <si>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</si>
  <si>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</si>
  <si>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</si>
  <si>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</si>
  <si>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</si>
  <si>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</si>
  <si>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</si>
  <si>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</si>
  <si>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</si>
  <si>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</si>
  <si>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</si>
  <si>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</si>
  <si>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</si>
  <si>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</si>
  <si>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</si>
  <si>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</si>
  <si>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</si>
  <si>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</si>
  <si>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</si>
  <si>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</si>
  <si>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</si>
  <si>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</si>
  <si>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</si>
  <si>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</si>
  <si>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</si>
  <si>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</si>
  <si>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</si>
  <si>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</si>
  <si>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</si>
  <si>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</si>
  <si>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</si>
  <si>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</si>
  <si>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</si>
  <si>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</si>
  <si>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</si>
  <si>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</si>
  <si>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</si>
  <si>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</si>
  <si>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</si>
  <si>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</si>
  <si>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</si>
  <si>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</si>
  <si>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</si>
  <si>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</si>
  <si>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</si>
  <si>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</si>
  <si>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</si>
  <si>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</si>
  <si>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</si>
  <si>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</si>
  <si>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</si>
  <si>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</si>
  <si>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</si>
  <si>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</si>
  <si>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</si>
  <si>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</si>
  <si>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</si>
  <si>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</si>
  <si>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</si>
  <si>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</si>
  <si>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</si>
  <si>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</si>
  <si>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</si>
  <si>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</si>
  <si>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</si>
  <si>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</si>
  <si>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</si>
  <si>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</si>
  <si>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</si>
  <si>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</si>
  <si>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</si>
  <si>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</si>
  <si>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</si>
  <si>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</si>
  <si>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</si>
  <si>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</si>
  <si>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</si>
  <si>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</si>
  <si>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</si>
  <si>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</si>
  <si>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</si>
  <si>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</si>
  <si>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</si>
  <si>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</si>
  <si>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</si>
  <si>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</si>
  <si>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</si>
  <si>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</si>
  <si>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</si>
  <si>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</si>
  <si>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</si>
  <si>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</si>
  <si>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</si>
  <si>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</si>
  <si>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</si>
  <si>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</si>
  <si>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</si>
  <si>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</si>
  <si>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</si>
  <si>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</si>
  <si>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</si>
  <si>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</si>
  <si>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</si>
  <si>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</si>
  <si>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</si>
  <si>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</si>
  <si>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</si>
  <si>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</si>
  <si>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</si>
  <si>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</si>
  <si>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</si>
  <si>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</si>
  <si>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</si>
  <si>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</si>
  <si>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</si>
  <si>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</si>
  <si>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</si>
  <si>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</si>
  <si>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</si>
  <si>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</si>
  <si>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</si>
  <si>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</si>
  <si>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</si>
  <si>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</si>
  <si>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</si>
  <si>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</si>
  <si>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</si>
  <si>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</si>
  <si>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</si>
  <si>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</si>
  <si>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</si>
  <si>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</si>
  <si>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</si>
  <si>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</si>
  <si>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</si>
  <si>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</si>
  <si>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</si>
  <si>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</si>
  <si>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</si>
  <si>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</si>
  <si>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</si>
  <si>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</si>
  <si>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</si>
  <si>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</si>
  <si>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</si>
  <si>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</si>
  <si>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</si>
  <si>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</si>
  <si>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</si>
  <si>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</si>
  <si>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</si>
  <si>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</si>
  <si>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</si>
  <si>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</si>
  <si>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</si>
  <si>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</si>
  <si>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</si>
  <si>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</si>
  <si>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</si>
  <si>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</si>
  <si>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</si>
  <si>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</si>
  <si>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</si>
  <si>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</si>
  <si>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</si>
  <si>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</si>
  <si>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</si>
  <si>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</si>
  <si>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</si>
  <si>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</si>
  <si>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</si>
  <si>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</si>
  <si>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</si>
  <si>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</si>
  <si>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</si>
  <si>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</si>
  <si>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</si>
  <si>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</si>
  <si>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</si>
  <si>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</si>
  <si>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</si>
  <si>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</si>
  <si>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</si>
  <si>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</si>
  <si>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</si>
  <si>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</si>
  <si>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</si>
  <si>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</si>
  <si>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</si>
  <si>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</si>
  <si>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</si>
  <si>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</si>
  <si>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</si>
  <si>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</si>
  <si>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</si>
  <si>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</si>
  <si>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</si>
  <si>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</si>
  <si>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</si>
  <si>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</si>
  <si>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</si>
  <si>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</si>
  <si>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</si>
  <si>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</si>
  <si>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</si>
  <si>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</si>
  <si>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</si>
  <si>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</si>
  <si>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</si>
  <si>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</si>
  <si>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</si>
  <si>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</si>
  <si>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</si>
  <si>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</si>
  <si>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</si>
  <si>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</si>
  <si>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</si>
  <si>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</si>
  <si>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</si>
  <si>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</si>
  <si>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</si>
  <si>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</si>
  <si>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</si>
  <si>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</si>
  <si>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</si>
  <si>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</si>
  <si>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</si>
  <si>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</si>
  <si>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</si>
  <si>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</si>
  <si>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</si>
  <si>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</si>
  <si>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</si>
  <si>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</si>
  <si>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</si>
  <si>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</si>
  <si>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</si>
  <si>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</si>
  <si>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</si>
  <si>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</si>
  <si>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</si>
  <si>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</si>
  <si>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</si>
  <si>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</si>
  <si>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</si>
  <si>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</si>
  <si>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</si>
  <si>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</si>
  <si>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</si>
  <si>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</si>
  <si>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</si>
  <si>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</si>
  <si>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</si>
  <si>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</si>
  <si>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</si>
  <si>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</si>
  <si>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</si>
  <si>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</si>
  <si>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</si>
  <si>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</si>
  <si>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</si>
  <si>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</si>
  <si>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</si>
  <si>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</si>
  <si>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</si>
  <si>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</si>
  <si>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</si>
  <si>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</si>
  <si>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</si>
  <si>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</si>
  <si>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</si>
  <si>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</si>
  <si>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</si>
  <si>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</si>
  <si>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</si>
  <si>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</si>
  <si>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</si>
  <si>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</si>
  <si>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</si>
  <si>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</si>
  <si>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</si>
  <si>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</si>
  <si>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</si>
  <si>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</si>
  <si>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</si>
  <si>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</si>
  <si>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</si>
  <si>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</si>
  <si>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</si>
  <si>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</si>
  <si>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</si>
  <si>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</si>
  <si>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</si>
  <si>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</si>
  <si>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</si>
  <si>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</si>
  <si>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</si>
  <si>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</si>
  <si>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</si>
  <si>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</si>
  <si>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</si>
  <si>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</si>
  <si>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</si>
  <si>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</si>
  <si>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</si>
  <si>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</si>
  <si>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</si>
  <si>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</si>
  <si>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</si>
  <si>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</si>
  <si>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</si>
  <si>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</si>
  <si>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</si>
  <si>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</si>
  <si>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</si>
  <si>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</si>
  <si>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</si>
  <si>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</si>
  <si>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</si>
  <si>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</si>
  <si>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</si>
  <si>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</si>
  <si>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</si>
  <si>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</si>
  <si>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</si>
  <si>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</si>
  <si>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</si>
  <si>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</si>
  <si>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</si>
  <si>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</si>
  <si>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</si>
  <si>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</si>
  <si>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</si>
  <si>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</si>
  <si>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</si>
  <si>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</si>
  <si>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</si>
  <si>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</si>
  <si>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</si>
  <si>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</si>
  <si>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</si>
  <si>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</si>
  <si>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</si>
  <si>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</si>
  <si>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</si>
  <si>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</si>
  <si>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</si>
  <si>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</si>
  <si>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</si>
  <si>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</si>
  <si>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</si>
  <si>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</si>
  <si>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</si>
  <si>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</si>
  <si>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</si>
  <si>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</si>
  <si>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</si>
  <si>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</si>
  <si>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</si>
  <si>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</si>
  <si>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</si>
  <si>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</si>
  <si>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</si>
  <si>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</si>
  <si>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</si>
  <si>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</si>
  <si>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</si>
  <si>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</si>
  <si>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</si>
  <si>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</si>
  <si>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</si>
  <si>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</si>
  <si>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</si>
  <si>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</si>
  <si>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</si>
  <si>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</si>
  <si>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</si>
  <si>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</si>
  <si>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</si>
  <si>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</si>
  <si>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</si>
  <si>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</si>
  <si>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</si>
  <si>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</si>
  <si>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</si>
  <si>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</si>
  <si>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</si>
  <si>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</si>
  <si>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</si>
  <si>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</si>
  <si>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</si>
  <si>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</si>
  <si>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</si>
  <si>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</si>
  <si>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</si>
  <si>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</si>
  <si>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</si>
  <si>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</si>
  <si>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</si>
  <si>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</si>
  <si>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</si>
  <si>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</si>
  <si>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</si>
  <si>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</si>
  <si>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</si>
  <si>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</si>
  <si>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</si>
  <si>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</si>
  <si>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</si>
  <si>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</si>
  <si>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</si>
  <si>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</si>
  <si>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</si>
  <si>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</si>
  <si>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</si>
  <si>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</si>
  <si>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</si>
  <si>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</si>
  <si>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</si>
  <si>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</si>
  <si>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</si>
  <si>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</si>
  <si>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</si>
  <si>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</si>
  <si>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</si>
  <si>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</si>
  <si>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</si>
  <si>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</si>
  <si>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</si>
  <si>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</si>
  <si>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</si>
  <si>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</si>
  <si>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</si>
  <si>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</si>
  <si>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</si>
  <si>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</si>
  <si>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</si>
  <si>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</si>
  <si>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</si>
  <si>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</si>
  <si>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</si>
  <si>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</si>
  <si>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</si>
  <si>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</si>
  <si>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</si>
  <si>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</si>
  <si>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</si>
  <si>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</si>
  <si>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</si>
  <si>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</si>
  <si>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</si>
  <si>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</si>
  <si>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</si>
  <si>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</si>
  <si>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</si>
  <si>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</si>
  <si>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</si>
  <si>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</si>
  <si>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</si>
  <si>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</si>
  <si>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</si>
  <si>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</si>
  <si>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</si>
  <si>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</si>
  <si>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</si>
  <si>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</si>
  <si>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</si>
  <si>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</si>
  <si>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</si>
  <si>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</si>
  <si>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</si>
  <si>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</si>
  <si>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</si>
  <si>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</si>
  <si>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</si>
  <si>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</si>
  <si>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</si>
  <si>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</si>
  <si>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</si>
  <si>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</si>
  <si>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</si>
  <si>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</si>
  <si>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</si>
  <si>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</si>
  <si>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</si>
  <si>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</si>
  <si>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</si>
  <si>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</si>
  <si>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</si>
  <si>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</si>
  <si>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</si>
  <si>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</si>
  <si>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</si>
  <si>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</si>
  <si>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</si>
  <si>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</si>
  <si>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</si>
  <si>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</si>
  <si>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</si>
  <si>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</si>
  <si>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</si>
  <si>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</si>
  <si>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</si>
  <si>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</si>
  <si>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</si>
  <si>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</si>
  <si>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</si>
  <si>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</si>
  <si>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</si>
  <si>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</si>
  <si>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</si>
  <si>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</si>
  <si>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</si>
  <si>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</si>
  <si>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</si>
  <si>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</si>
  <si>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</si>
  <si>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</si>
  <si>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</si>
  <si>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</si>
  <si>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</si>
  <si>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</si>
  <si>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</si>
  <si>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</si>
  <si>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</si>
  <si>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</si>
  <si>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</si>
  <si>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</si>
  <si>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</si>
  <si>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</si>
  <si>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</si>
  <si>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</si>
  <si>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</si>
  <si>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</si>
  <si>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</si>
  <si>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</si>
  <si>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</si>
  <si>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</si>
  <si>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</si>
  <si>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</si>
  <si>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</si>
  <si>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</si>
  <si>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</si>
  <si>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</si>
  <si>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</si>
  <si>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</si>
  <si>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</si>
  <si>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</si>
  <si>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</si>
  <si>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</si>
  <si>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</si>
  <si>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</si>
  <si>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</si>
  <si>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</si>
  <si>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</si>
  <si>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</si>
  <si>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</si>
  <si>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</si>
  <si>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</si>
  <si>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</si>
  <si>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</si>
  <si>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</si>
  <si>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</si>
  <si>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</si>
  <si>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</si>
  <si>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</si>
  <si>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</si>
  <si>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</si>
  <si>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</si>
  <si>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</si>
  <si>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</si>
  <si>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</si>
  <si>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</si>
  <si>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</si>
  <si>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</si>
  <si>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</si>
  <si>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</si>
  <si>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</si>
  <si>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</si>
  <si>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</si>
  <si>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</si>
  <si>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</si>
  <si>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</si>
  <si>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</si>
  <si>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</si>
  <si>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</si>
  <si>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</si>
  <si>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</si>
  <si>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</si>
  <si>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</si>
  <si>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</si>
  <si>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</si>
  <si>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</si>
  <si>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</si>
  <si>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</si>
  <si>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</si>
  <si>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</si>
  <si>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</si>
  <si>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</si>
  <si>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</si>
  <si>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</si>
  <si>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</si>
  <si>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</si>
  <si>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</si>
  <si>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</si>
  <si>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</si>
  <si>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</si>
  <si>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</si>
  <si>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</si>
  <si>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</si>
  <si>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</si>
  <si>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</si>
  <si>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</si>
  <si>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</si>
  <si>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</si>
  <si>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</si>
  <si>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</si>
  <si>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</si>
  <si>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</si>
  <si>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</si>
  <si>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</si>
  <si>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</si>
  <si>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</si>
  <si>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</si>
  <si>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</si>
  <si>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</si>
  <si>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</si>
  <si>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</si>
  <si>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</si>
  <si>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</si>
  <si>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</si>
  <si>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</si>
  <si>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</si>
  <si>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</si>
  <si>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</si>
  <si>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</si>
  <si>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</si>
  <si>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</si>
  <si>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</si>
  <si>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</si>
  <si>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</si>
  <si>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</si>
  <si>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</si>
  <si>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</si>
  <si>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</si>
  <si>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</si>
  <si>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</si>
  <si>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</si>
  <si>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</si>
  <si>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</si>
  <si>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</si>
  <si>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</si>
  <si>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</si>
  <si>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</si>
  <si>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</si>
  <si>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</si>
  <si>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</si>
  <si>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</si>
  <si>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</si>
  <si>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</si>
  <si>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</si>
  <si>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</si>
  <si>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</si>
  <si>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</si>
  <si>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</si>
  <si>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</si>
  <si>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</si>
  <si>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</si>
  <si>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</si>
  <si>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</si>
  <si>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</si>
  <si>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</si>
  <si>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</si>
  <si>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</si>
  <si>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</si>
  <si>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</si>
  <si>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</si>
  <si>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</si>
  <si>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</si>
  <si>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</si>
  <si>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</si>
  <si>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</si>
  <si>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</si>
  <si>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</si>
  <si>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</si>
  <si>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</si>
  <si>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</si>
  <si>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</si>
  <si>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</si>
  <si>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</si>
  <si>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</si>
  <si>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</si>
  <si>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</si>
  <si>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</si>
  <si>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</si>
  <si>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</si>
  <si>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</si>
  <si>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</si>
  <si>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</si>
  <si>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</si>
  <si>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</si>
  <si>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</si>
  <si>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</si>
  <si>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</si>
  <si>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</si>
  <si>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</si>
  <si>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</si>
  <si>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</si>
  <si>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</si>
  <si>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</si>
  <si>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</si>
  <si>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</si>
  <si>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</si>
  <si>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</si>
  <si>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</si>
  <si>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</si>
  <si>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</si>
  <si>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</si>
  <si>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</si>
  <si>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</si>
  <si>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</si>
  <si>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</si>
  <si>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</si>
  <si>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</si>
  <si>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</si>
  <si>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</si>
  <si>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</si>
  <si>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</si>
  <si>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</si>
  <si>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</si>
  <si>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</si>
  <si>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</si>
  <si>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</si>
  <si>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</si>
  <si>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</si>
  <si>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</si>
  <si>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</si>
  <si>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</si>
  <si>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</si>
  <si>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</si>
  <si>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</si>
  <si>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</si>
  <si>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</si>
  <si>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</si>
  <si>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</si>
  <si>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</si>
  <si>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</si>
  <si>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</si>
  <si>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</si>
  <si>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</si>
  <si>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</si>
  <si>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</si>
  <si>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</si>
  <si>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</si>
  <si>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</si>
  <si>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</si>
  <si>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</si>
  <si>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</si>
  <si>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</si>
  <si>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</si>
  <si>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</si>
  <si>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</si>
  <si>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</si>
  <si>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</si>
  <si>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</si>
  <si>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</si>
  <si>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</si>
  <si>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</si>
  <si>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</si>
  <si>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</si>
  <si>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</si>
  <si>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</si>
  <si>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</si>
  <si>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</si>
  <si>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</si>
  <si>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</si>
  <si>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</si>
  <si>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</si>
  <si>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</si>
  <si>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</si>
  <si>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</si>
  <si>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</si>
  <si>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</si>
  <si>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</si>
  <si>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</si>
  <si>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</si>
  <si>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</si>
  <si>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</si>
  <si>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</si>
  <si>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</si>
  <si>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</si>
  <si>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</si>
  <si>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</si>
  <si>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</si>
  <si>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</si>
  <si>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</si>
  <si>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</si>
  <si>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</si>
  <si>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</si>
  <si>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</si>
  <si>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</si>
  <si>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</si>
  <si>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</si>
  <si>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</si>
  <si>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</si>
  <si>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</si>
  <si>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</si>
  <si>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</si>
  <si>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</si>
  <si>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</si>
  <si>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</si>
  <si>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</si>
  <si>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</si>
  <si>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</si>
  <si>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</si>
  <si>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</si>
  <si>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</si>
  <si>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</si>
  <si>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</si>
  <si>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</si>
  <si>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</si>
  <si>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</si>
  <si>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</si>
  <si>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</si>
  <si>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</si>
  <si>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</si>
  <si>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</si>
  <si>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</si>
  <si>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</si>
  <si>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</si>
  <si>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</si>
  <si>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</si>
  <si>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</si>
  <si>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</si>
  <si>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</si>
  <si>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</si>
  <si>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</si>
  <si>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</si>
  <si>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</si>
  <si>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</si>
  <si>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</si>
  <si>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</si>
  <si>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</si>
  <si>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</si>
  <si>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</si>
  <si>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</si>
  <si>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</si>
  <si>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</si>
  <si>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</si>
  <si>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</si>
  <si>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</si>
  <si>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</si>
  <si>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</si>
  <si>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</si>
  <si>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</si>
  <si>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</si>
  <si>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</si>
  <si>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</si>
  <si>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</si>
  <si>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</si>
  <si>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</si>
  <si>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</si>
  <si>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</si>
  <si>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</si>
  <si>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</si>
  <si>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</si>
  <si>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</si>
  <si>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</si>
  <si>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</si>
  <si>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</si>
  <si>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</si>
  <si>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</si>
  <si>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</si>
  <si>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</si>
  <si>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</si>
  <si>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</si>
  <si>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</si>
  <si>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</si>
  <si>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</si>
  <si>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</si>
  <si>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</si>
  <si>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</si>
  <si>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</si>
  <si>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</si>
  <si>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</si>
  <si>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</si>
  <si>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</si>
  <si>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</si>
  <si>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</si>
  <si>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</si>
  <si>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</si>
  <si>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</si>
  <si>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</si>
  <si>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</si>
  <si>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</si>
  <si>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</si>
  <si>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</si>
  <si>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</si>
  <si>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</si>
  <si>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</si>
  <si>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</si>
  <si>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</si>
  <si>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</si>
  <si>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</si>
  <si>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</si>
  <si>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</si>
  <si>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</si>
  <si>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</si>
  <si>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</si>
  <si>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</si>
  <si>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</si>
  <si>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</si>
  <si>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</si>
  <si>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</si>
  <si>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</si>
  <si>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</si>
  <si>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</si>
  <si>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</si>
  <si>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</si>
  <si>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</si>
  <si>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</si>
  <si>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</si>
  <si>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</si>
  <si>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</si>
  <si>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</si>
  <si>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</si>
  <si>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</si>
  <si>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</si>
  <si>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</si>
  <si>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</si>
  <si>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</si>
  <si>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</si>
  <si>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</si>
  <si>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</si>
  <si>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</si>
  <si>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</si>
  <si>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</si>
  <si>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</si>
  <si>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</si>
  <si>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</si>
  <si>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</si>
  <si>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</si>
  <si>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</si>
  <si>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</si>
  <si>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</si>
  <si>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</si>
  <si>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</si>
  <si>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</si>
  <si>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</si>
  <si>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</si>
  <si>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</si>
  <si>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</si>
  <si>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</si>
  <si>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</si>
  <si>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</si>
  <si>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</si>
  <si>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</si>
  <si>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</si>
  <si>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</si>
  <si>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</si>
  <si>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</si>
  <si>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</si>
  <si>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</si>
  <si>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</si>
  <si>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</si>
  <si>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</si>
  <si>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</si>
  <si>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</si>
  <si>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</si>
  <si>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</si>
  <si>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</si>
  <si>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</si>
  <si>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</si>
  <si>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</si>
  <si>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</si>
  <si>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</si>
  <si>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</si>
  <si>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</si>
  <si>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</si>
  <si>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</si>
  <si>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</si>
  <si>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</si>
  <si>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</si>
  <si>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</si>
  <si>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</si>
  <si>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</si>
  <si>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</si>
  <si>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</si>
  <si>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</si>
  <si>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</si>
  <si>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</si>
  <si>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</si>
  <si>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</si>
  <si>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</si>
  <si>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</si>
  <si>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</si>
  <si>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</si>
  <si>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</si>
  <si>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</si>
  <si>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</si>
  <si>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</si>
  <si>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</si>
  <si>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</si>
  <si>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</si>
  <si>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</si>
  <si>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</si>
  <si>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</si>
  <si>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</si>
  <si>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</si>
  <si>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</si>
  <si>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</si>
  <si>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</si>
  <si>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</si>
  <si>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</si>
  <si>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</si>
  <si>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</si>
  <si>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</si>
  <si>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</si>
  <si>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</si>
  <si>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</si>
  <si>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</si>
  <si>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</si>
  <si>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</si>
  <si>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</si>
  <si>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</si>
  <si>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</si>
  <si>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</si>
  <si>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</si>
  <si>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</si>
  <si>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</si>
  <si>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</si>
  <si>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</si>
  <si>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</si>
  <si>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</si>
  <si>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</si>
  <si>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</si>
  <si>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</si>
  <si>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</si>
  <si>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</si>
  <si>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</si>
  <si>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</si>
  <si>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</si>
  <si>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</si>
  <si>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</si>
  <si>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</si>
  <si>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</si>
  <si>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</si>
  <si>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</si>
  <si>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</si>
  <si>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</si>
  <si>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</si>
  <si>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</si>
  <si>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</si>
  <si>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</si>
  <si>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</si>
  <si>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</si>
  <si>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</si>
  <si>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</si>
  <si>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</si>
  <si>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</si>
  <si>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</si>
  <si>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</si>
  <si>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</si>
  <si>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</si>
  <si>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</si>
  <si>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</si>
  <si>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</si>
  <si>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</si>
  <si>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</si>
  <si>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</si>
  <si>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</si>
  <si>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</si>
  <si>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</si>
  <si>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</si>
  <si>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</si>
  <si>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</si>
  <si>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</si>
  <si>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</si>
  <si>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</si>
  <si>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</si>
  <si>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</si>
  <si>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</si>
  <si>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</si>
  <si>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</si>
  <si>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</si>
  <si>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</si>
  <si>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</si>
  <si>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</si>
  <si>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</si>
  <si>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</si>
  <si>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</si>
  <si>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</si>
  <si>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</si>
  <si>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</si>
  <si>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</si>
  <si>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</si>
  <si>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</si>
  <si>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</si>
  <si>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</si>
  <si>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</si>
  <si>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</si>
  <si>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</si>
  <si>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</si>
  <si>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</si>
  <si>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</si>
  <si>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</si>
  <si>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</si>
  <si>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</si>
  <si>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</si>
  <si>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</si>
  <si>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</si>
  <si>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</si>
  <si>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</si>
  <si>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</si>
  <si>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</si>
  <si>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</si>
  <si>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</si>
  <si>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</si>
  <si>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</si>
  <si>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</si>
  <si>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</si>
  <si>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</si>
  <si>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</si>
  <si>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</si>
  <si>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</si>
  <si>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</si>
  <si>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</si>
  <si>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</si>
  <si>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</si>
  <si>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</si>
  <si>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</si>
  <si>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</si>
  <si>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</si>
  <si>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</si>
  <si>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</si>
  <si>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</si>
  <si>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</si>
  <si>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</si>
  <si>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</si>
  <si>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</si>
  <si>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</si>
  <si>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</si>
  <si>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</si>
  <si>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</si>
  <si>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</si>
  <si>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</si>
  <si>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</si>
  <si>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</si>
  <si>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</si>
  <si>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</si>
  <si>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</si>
  <si>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</si>
  <si>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</si>
  <si>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</si>
  <si>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</si>
  <si>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</si>
  <si>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</si>
  <si>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</si>
  <si>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</si>
  <si>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</si>
  <si>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</si>
  <si>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</si>
  <si>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</si>
  <si>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</si>
  <si>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</si>
  <si>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</si>
  <si>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</si>
  <si>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</si>
  <si>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</si>
  <si>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</si>
  <si>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</si>
  <si>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</si>
  <si>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</si>
  <si>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</si>
  <si>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</si>
  <si>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</si>
  <si>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</si>
  <si>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</si>
  <si>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</si>
  <si>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</si>
  <si>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</si>
  <si>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</si>
  <si>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</si>
  <si>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</si>
  <si>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</si>
  <si>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</si>
  <si>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</si>
  <si>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</si>
  <si>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</si>
  <si>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</si>
  <si>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</si>
  <si>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</si>
  <si>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</si>
  <si>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</si>
  <si>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</si>
  <si>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</si>
  <si>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</si>
  <si>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</si>
  <si>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</si>
  <si>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</si>
  <si>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</si>
  <si>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</si>
  <si>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</si>
  <si>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</si>
  <si>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</si>
  <si>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</si>
  <si>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</si>
  <si>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</si>
  <si>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</si>
  <si>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</si>
  <si>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</si>
  <si>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</si>
  <si>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</si>
  <si>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</si>
  <si>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</si>
  <si>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</si>
  <si>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</si>
  <si>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</si>
  <si>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</si>
  <si>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</si>
  <si>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</si>
  <si>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</si>
  <si>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</si>
  <si>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</si>
  <si>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</si>
  <si>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</si>
  <si>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</si>
  <si>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</si>
  <si>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</si>
  <si>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</si>
  <si>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</si>
  <si>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</si>
  <si>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</si>
  <si>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</si>
  <si>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</si>
  <si>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</si>
  <si>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</si>
  <si>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</si>
  <si>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</si>
  <si>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</si>
  <si>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</si>
  <si>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</si>
  <si>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</si>
  <si>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</si>
  <si>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</si>
  <si>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</si>
  <si>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</si>
  <si>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</si>
  <si>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</si>
  <si>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</si>
  <si>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</si>
  <si>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</si>
  <si>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</si>
  <si>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</si>
  <si>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</si>
  <si>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</si>
  <si>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</si>
  <si>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</si>
  <si>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</si>
  <si>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</si>
  <si>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</si>
  <si>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</si>
  <si>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</si>
  <si>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</si>
  <si>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</si>
  <si>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</si>
  <si>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</si>
  <si>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</si>
  <si>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</si>
  <si>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</si>
  <si>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</si>
  <si>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</si>
  <si>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</si>
  <si>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</si>
  <si>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</si>
  <si>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</si>
  <si>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</si>
  <si>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</si>
  <si>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</si>
  <si>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</si>
  <si>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</si>
  <si>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</si>
  <si>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</si>
  <si>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</si>
  <si>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</si>
  <si>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</si>
  <si>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</si>
  <si>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</si>
  <si>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</si>
  <si>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</si>
  <si>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</si>
  <si>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</si>
  <si>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</si>
  <si>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</si>
  <si>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</si>
  <si>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</si>
  <si>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</si>
  <si>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</si>
  <si>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</si>
  <si>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</si>
  <si>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</si>
  <si>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</si>
  <si>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</si>
  <si>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</si>
  <si>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</si>
  <si>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</si>
  <si>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</si>
  <si>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</si>
  <si>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</si>
  <si>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</si>
  <si>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</si>
  <si>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</si>
  <si>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</si>
  <si>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</si>
  <si>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</si>
  <si>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</si>
  <si>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</si>
  <si>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</si>
  <si>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</si>
  <si>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</si>
  <si>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</si>
  <si>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</si>
  <si>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</si>
  <si>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</si>
  <si>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</si>
  <si>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</si>
  <si>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</si>
  <si>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</si>
  <si>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</si>
  <si>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</si>
  <si>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</si>
  <si>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</si>
  <si>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</si>
  <si>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</si>
  <si>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</si>
  <si>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</si>
  <si>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</si>
  <si>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</si>
  <si>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</si>
  <si>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</si>
  <si>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</si>
  <si>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</si>
  <si>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</si>
  <si>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</si>
  <si>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</si>
  <si>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</si>
  <si>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</si>
  <si>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</si>
  <si>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</si>
  <si>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</si>
  <si>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</si>
  <si>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</si>
  <si>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</si>
  <si>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</si>
  <si>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</si>
  <si>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</si>
  <si>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</si>
  <si>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</si>
  <si>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</si>
  <si>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</si>
  <si>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</si>
  <si>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</si>
  <si>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</si>
  <si>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</si>
  <si>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</si>
  <si>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</si>
  <si>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</si>
  <si>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</si>
  <si>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</si>
  <si>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</si>
  <si>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</si>
  <si>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</si>
  <si>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</si>
  <si>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</si>
  <si>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</si>
  <si>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</si>
  <si>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</si>
  <si>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</si>
  <si>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</si>
  <si>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</si>
  <si>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</si>
  <si>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</si>
  <si>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</si>
  <si>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</si>
  <si>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</si>
  <si>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</si>
  <si>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</si>
  <si>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</si>
  <si>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</si>
  <si>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</si>
  <si>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</si>
  <si>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</si>
  <si>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</si>
  <si>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</si>
  <si>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</si>
  <si>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</si>
  <si>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</si>
  <si>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</si>
  <si>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</si>
  <si>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</si>
  <si>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</si>
  <si>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</si>
  <si>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</si>
  <si>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</si>
  <si>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</si>
  <si>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</si>
  <si>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</si>
  <si>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</si>
  <si>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</si>
  <si>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</si>
  <si>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</si>
  <si>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</si>
  <si>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</si>
  <si>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</si>
  <si>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</si>
  <si>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</si>
  <si>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</si>
  <si>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</si>
  <si>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</si>
  <si>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</si>
  <si>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</si>
  <si>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</si>
  <si>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</si>
  <si>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</si>
  <si>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</si>
  <si>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</si>
  <si>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</si>
  <si>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</si>
  <si>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</si>
  <si>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</si>
  <si>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</si>
  <si>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</si>
  <si>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</si>
  <si>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</si>
  <si>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</si>
  <si>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</si>
  <si>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</si>
  <si>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</si>
  <si>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</si>
  <si>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</si>
  <si>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</si>
  <si>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</si>
  <si>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</si>
  <si>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</si>
  <si>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</si>
  <si>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</si>
  <si>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</si>
  <si>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</si>
  <si>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</si>
  <si>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</si>
  <si>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</si>
  <si>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</si>
  <si>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</si>
  <si>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</si>
  <si>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</si>
  <si>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</si>
  <si>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</si>
  <si>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</si>
  <si>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</si>
  <si>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</si>
  <si>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</si>
  <si>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</si>
  <si>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</si>
  <si>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</si>
  <si>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</si>
  <si>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</si>
  <si>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</si>
  <si>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</si>
  <si>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</si>
  <si>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</si>
  <si>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</si>
  <si>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</si>
  <si>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</si>
  <si>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</si>
  <si>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</si>
  <si>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</si>
  <si>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</si>
  <si>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</si>
  <si>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</si>
  <si>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</si>
  <si>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</si>
  <si>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</si>
  <si>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</si>
  <si>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</si>
  <si>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</si>
  <si>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</si>
  <si>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</si>
  <si>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</si>
  <si>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</si>
  <si>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</si>
  <si>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</si>
  <si>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</si>
  <si>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</si>
  <si>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</si>
  <si>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</si>
  <si>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</si>
  <si>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</si>
  <si>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</si>
  <si>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</si>
  <si>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</si>
  <si>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</si>
  <si>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</si>
  <si>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</si>
  <si>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</si>
  <si>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</si>
  <si>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</si>
  <si>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</si>
  <si>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</si>
  <si>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</si>
  <si>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</si>
  <si>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</si>
  <si>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</si>
  <si>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</si>
  <si>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</si>
  <si>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</si>
  <si>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</si>
  <si>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</si>
  <si>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</si>
  <si>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</si>
  <si>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</si>
  <si>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</si>
  <si>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</si>
  <si>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</si>
  <si>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</si>
  <si>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</si>
  <si>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</si>
  <si>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</si>
  <si>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</si>
  <si>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</si>
  <si>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</si>
  <si>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</si>
  <si>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</si>
  <si>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</si>
  <si>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</si>
  <si>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</si>
  <si>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</si>
  <si>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</si>
  <si>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</si>
  <si>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</si>
  <si>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</si>
  <si>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</si>
  <si>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</si>
  <si>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</si>
  <si>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</si>
  <si>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</si>
  <si>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</si>
  <si>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</si>
  <si>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</si>
  <si>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</si>
  <si>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</si>
  <si>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</si>
  <si>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</si>
  <si>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</si>
  <si>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</si>
  <si>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</si>
  <si>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</si>
  <si>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</si>
  <si>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</si>
  <si>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</si>
  <si>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</si>
  <si>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</si>
  <si>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</si>
  <si>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</si>
  <si>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</si>
  <si>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</si>
  <si>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</si>
  <si>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</si>
  <si>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</si>
  <si>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</si>
  <si>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</si>
  <si>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</si>
  <si>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</si>
  <si>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</si>
  <si>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</si>
  <si>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</si>
  <si>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</si>
  <si>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</si>
  <si>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</si>
  <si>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</si>
  <si>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</si>
  <si>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</si>
  <si>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</si>
  <si>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</si>
  <si>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</si>
  <si>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</si>
  <si>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</si>
  <si>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</si>
  <si>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</si>
  <si>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</si>
  <si>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</si>
  <si>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</si>
  <si>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</si>
  <si>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</si>
  <si>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</si>
  <si>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</si>
  <si>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</si>
  <si>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</si>
  <si>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</si>
  <si>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</si>
  <si>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</si>
  <si>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</si>
  <si>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</si>
  <si>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</si>
  <si>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</si>
  <si>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</si>
  <si>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</si>
  <si>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</si>
  <si>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</si>
  <si>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</si>
  <si>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</si>
  <si>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</si>
  <si>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</si>
  <si>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</si>
  <si>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</si>
  <si>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</si>
  <si>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</si>
  <si>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</si>
  <si>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</si>
  <si>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</si>
  <si>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</si>
  <si>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</si>
  <si>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</si>
  <si>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</si>
  <si>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</si>
  <si>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</si>
  <si>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</si>
  <si>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</si>
  <si>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</si>
  <si>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</si>
  <si>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</si>
  <si>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</si>
  <si>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</si>
  <si>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</si>
  <si>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</si>
  <si>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</si>
  <si>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</si>
  <si>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</si>
  <si>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</si>
  <si>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</si>
  <si>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</si>
  <si>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</si>
  <si>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</si>
  <si>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</si>
  <si>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</si>
  <si>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</si>
  <si>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</si>
  <si>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</si>
  <si>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</si>
  <si>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</si>
  <si>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</si>
  <si>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</si>
  <si>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</si>
  <si>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</si>
  <si>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</si>
  <si>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</si>
  <si>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</si>
  <si>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</si>
  <si>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</si>
  <si>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</si>
  <si>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</si>
  <si>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</si>
  <si>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</si>
  <si>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</si>
  <si>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</si>
  <si>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</si>
  <si>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</si>
  <si>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</si>
  <si>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</si>
  <si>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</si>
  <si>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</si>
  <si>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</si>
  <si>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</si>
  <si>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</si>
  <si>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</si>
  <si>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</si>
  <si>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</si>
  <si>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</si>
  <si>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</si>
  <si>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</si>
  <si>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</si>
  <si>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</si>
  <si>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</si>
  <si>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</si>
  <si>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</si>
  <si>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</si>
  <si>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</si>
  <si>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</si>
  <si>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</si>
  <si>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</si>
  <si>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</si>
  <si>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</si>
  <si>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</si>
  <si>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</si>
  <si>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</si>
  <si>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</si>
  <si>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</si>
  <si>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</si>
  <si>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</si>
  <si>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</si>
  <si>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</si>
  <si>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</si>
  <si>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</si>
  <si>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</si>
  <si>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</si>
  <si>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</si>
  <si>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</si>
  <si>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</si>
  <si>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</si>
  <si>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</si>
  <si>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</si>
  <si>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</si>
  <si>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</si>
  <si>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</si>
  <si>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</si>
  <si>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</si>
  <si>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</si>
  <si>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</si>
  <si>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</si>
  <si>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</si>
  <si>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</si>
  <si>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</si>
  <si>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</si>
  <si>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</si>
  <si>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</si>
  <si>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</si>
  <si>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</si>
  <si>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</si>
  <si>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</si>
  <si>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</si>
  <si>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</si>
  <si>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</si>
  <si>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</si>
  <si>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</si>
  <si>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</si>
  <si>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</si>
  <si>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</si>
  <si>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</si>
  <si>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</si>
  <si>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</si>
  <si>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</si>
  <si>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</si>
  <si>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</si>
  <si>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</si>
  <si>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</si>
  <si>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</si>
  <si>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</si>
  <si>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</si>
  <si>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</si>
  <si>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</si>
  <si>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</si>
  <si>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</si>
  <si>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</si>
  <si>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</si>
  <si>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</si>
  <si>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</si>
  <si>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</si>
  <si>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</si>
  <si>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</si>
  <si>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</si>
  <si>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</si>
  <si>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</si>
  <si>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</si>
  <si>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</si>
  <si>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</si>
  <si>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</si>
  <si>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</si>
  <si>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</si>
  <si>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</si>
  <si>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</si>
  <si>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</si>
  <si>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</si>
  <si>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</si>
  <si>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</si>
  <si>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</si>
  <si>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</si>
  <si>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</si>
  <si>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</si>
  <si>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</si>
  <si>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</si>
  <si>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</si>
  <si>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</si>
  <si>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</si>
  <si>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</si>
  <si>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</si>
  <si>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</si>
  <si>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</si>
  <si>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</si>
  <si>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</si>
  <si>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</si>
  <si>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</si>
  <si>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</si>
  <si>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</si>
  <si>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</si>
  <si>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</si>
  <si>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</si>
  <si>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</si>
  <si>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</si>
  <si>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</si>
  <si>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</si>
  <si>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</si>
  <si>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</si>
  <si>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</si>
  <si>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</si>
  <si>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</si>
  <si>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</si>
  <si>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</si>
  <si>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</si>
  <si>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</si>
  <si>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</si>
  <si>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</si>
  <si>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</si>
  <si>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</si>
  <si>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</si>
  <si>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</si>
  <si>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</si>
  <si>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</si>
  <si>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</si>
  <si>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</si>
  <si>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</si>
  <si>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</si>
  <si>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</si>
  <si>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</si>
  <si>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</si>
  <si>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</si>
  <si>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</si>
  <si>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</si>
  <si>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</si>
  <si>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</si>
  <si>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</si>
  <si>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</si>
  <si>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</si>
  <si>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</si>
  <si>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</si>
  <si>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</si>
  <si>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</si>
  <si>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</si>
  <si>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</si>
  <si>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</si>
  <si>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</si>
  <si>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</si>
  <si>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</si>
  <si>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</si>
  <si>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</si>
  <si>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</si>
  <si>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</si>
  <si>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</si>
  <si>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</si>
  <si>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</si>
  <si>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</si>
  <si>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</si>
  <si>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</si>
  <si>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</si>
  <si>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</si>
  <si>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</si>
  <si>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</si>
  <si>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</si>
  <si>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</si>
  <si>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</si>
  <si>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</si>
  <si>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</si>
  <si>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</si>
  <si>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</si>
  <si>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</si>
  <si>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</si>
  <si>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</si>
  <si>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</si>
  <si>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</si>
  <si>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</si>
  <si>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</si>
  <si>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</si>
  <si>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</si>
  <si>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</si>
  <si>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</si>
  <si>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</si>
  <si>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</si>
  <si>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</si>
  <si>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</si>
  <si>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</si>
  <si>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</si>
  <si>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</si>
  <si>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</si>
  <si>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</si>
  <si>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</si>
  <si>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</si>
  <si>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</si>
  <si>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</si>
  <si>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</si>
  <si>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</si>
  <si>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</si>
  <si>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</si>
  <si>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</si>
  <si>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</si>
  <si>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</si>
  <si>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</si>
  <si>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</si>
  <si>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</si>
  <si>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</si>
  <si>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</si>
  <si>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</si>
  <si>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</si>
  <si>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</si>
  <si>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</si>
  <si>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</si>
  <si>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</si>
  <si>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</si>
  <si>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</si>
  <si>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</si>
  <si>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</si>
  <si>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</si>
  <si>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</si>
  <si>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</si>
  <si>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</si>
  <si>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</si>
  <si>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</si>
  <si>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</si>
  <si>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</si>
  <si>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</si>
  <si>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</si>
  <si>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</si>
  <si>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</si>
  <si>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</si>
  <si>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</si>
  <si>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</si>
  <si>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</si>
  <si>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</si>
  <si>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</si>
  <si>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</si>
  <si>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</si>
  <si>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</si>
  <si>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</si>
  <si>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</si>
  <si>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</si>
  <si>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</si>
  <si>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</si>
  <si>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</si>
  <si>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</si>
  <si>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</si>
  <si>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</si>
  <si>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</si>
  <si>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</si>
  <si>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</si>
  <si>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</si>
  <si>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</si>
  <si>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</si>
  <si>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</si>
  <si>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</si>
  <si>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</si>
  <si>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</si>
  <si>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</si>
  <si>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</si>
  <si>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</si>
  <si>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</si>
  <si>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</si>
  <si>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</si>
  <si>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</si>
  <si>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</si>
  <si>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</si>
  <si>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</si>
  <si>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</si>
  <si>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</si>
  <si>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</si>
  <si>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</si>
  <si>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</si>
  <si>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</si>
  <si>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</si>
  <si>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</si>
  <si>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</si>
  <si>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</si>
  <si>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</si>
  <si>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</si>
  <si>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</si>
  <si>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</si>
  <si>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</si>
  <si>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</si>
  <si>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</si>
  <si>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</si>
  <si>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</si>
  <si>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</si>
  <si>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</si>
  <si>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</si>
  <si>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</si>
  <si>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</si>
  <si>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</si>
  <si>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</si>
  <si>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</si>
  <si>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</si>
  <si>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</si>
  <si>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</si>
  <si>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</si>
  <si>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</si>
  <si>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</si>
  <si>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</si>
  <si>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</si>
  <si>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</si>
  <si>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</si>
  <si>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</si>
  <si>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</si>
  <si>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</si>
  <si>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</si>
  <si>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</si>
  <si>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</si>
  <si>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</si>
  <si>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</si>
  <si>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</si>
  <si>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</si>
  <si>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</si>
  <si>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</si>
  <si>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</si>
  <si>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</si>
  <si>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</si>
  <si>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</si>
  <si>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</si>
  <si>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</si>
  <si>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</si>
  <si>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</si>
  <si>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</si>
  <si>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</si>
  <si>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</si>
  <si>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</si>
  <si>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</si>
  <si>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</si>
  <si>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</si>
  <si>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</si>
  <si>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</si>
  <si>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</si>
  <si>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</si>
  <si>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</si>
  <si>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</si>
  <si>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</si>
  <si>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</si>
  <si>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</si>
  <si>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</si>
  <si>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</si>
  <si>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</si>
  <si>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</si>
  <si>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</si>
  <si>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</si>
  <si>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</si>
  <si>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</si>
  <si>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</si>
  <si>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</si>
  <si>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</si>
  <si>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</si>
  <si>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</si>
  <si>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</si>
  <si>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</si>
  <si>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</si>
  <si>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</si>
  <si>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</si>
  <si>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</si>
  <si>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</si>
  <si>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</si>
  <si>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</si>
  <si>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</si>
  <si>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</si>
  <si>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</si>
  <si>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</si>
  <si>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</si>
  <si>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</si>
  <si>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</si>
  <si>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</si>
  <si>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</si>
  <si>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</si>
  <si>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</si>
  <si>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</si>
  <si>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</si>
  <si>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</si>
  <si>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</si>
  <si>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</si>
  <si>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</si>
  <si>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</si>
  <si>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</si>
  <si>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</si>
  <si>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</si>
  <si>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</si>
  <si>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</si>
  <si>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</si>
  <si>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</si>
  <si>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</si>
  <si>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</si>
  <si>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</si>
  <si>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</si>
  <si>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</si>
  <si>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</si>
  <si>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</si>
  <si>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</si>
  <si>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</si>
  <si>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</si>
  <si>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</si>
  <si>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</si>
  <si>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</si>
  <si>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</si>
  <si>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</si>
  <si>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</si>
  <si>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</si>
  <si>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</si>
  <si>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</si>
  <si>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</si>
  <si>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</si>
  <si>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</si>
  <si>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</si>
  <si>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</si>
  <si>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</si>
  <si>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</si>
  <si>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</si>
  <si>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</si>
  <si>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</si>
  <si>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</si>
  <si>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</si>
  <si>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</si>
  <si>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</si>
  <si>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</si>
  <si>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</si>
  <si>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</si>
  <si>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</si>
  <si>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</si>
  <si>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</si>
  <si>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</si>
  <si>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</si>
  <si>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</si>
  <si>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</si>
  <si>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</si>
  <si>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</si>
  <si>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</si>
  <si>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</si>
  <si>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</si>
  <si>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</si>
  <si>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</si>
  <si>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</si>
  <si>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</si>
  <si>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</si>
  <si>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</si>
  <si>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</si>
  <si>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</si>
  <si>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</si>
  <si>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</si>
  <si>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</si>
  <si>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</si>
  <si>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</si>
  <si>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</si>
  <si>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</si>
  <si>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</si>
  <si>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</si>
  <si>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</si>
  <si>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</si>
  <si>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</si>
  <si>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</si>
  <si>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</si>
  <si>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</si>
  <si>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</si>
  <si>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</si>
  <si>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</si>
  <si>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</si>
  <si>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</si>
  <si>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</si>
  <si>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</si>
  <si>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</si>
  <si>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</si>
  <si>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</si>
  <si>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</si>
  <si>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</si>
  <si>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</si>
  <si>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</si>
  <si>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</si>
  <si>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</si>
  <si>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</si>
  <si>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</si>
  <si>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</si>
  <si>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</si>
  <si>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</si>
  <si>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</si>
  <si>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</si>
  <si>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</si>
  <si>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</si>
  <si>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</si>
  <si>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</si>
  <si>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</si>
  <si>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</si>
  <si>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</si>
  <si>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</si>
  <si>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</si>
  <si>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</si>
  <si>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</si>
  <si>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</si>
  <si>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</si>
  <si>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</si>
  <si>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</si>
  <si>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</si>
  <si>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</si>
  <si>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</si>
  <si>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</si>
  <si>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</si>
  <si>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</si>
  <si>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</si>
  <si>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</si>
  <si>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</si>
  <si>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</si>
  <si>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</si>
  <si>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</si>
  <si>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</si>
  <si>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</si>
  <si>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</si>
  <si>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</si>
  <si>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</si>
  <si>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</si>
  <si>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</si>
  <si>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</si>
  <si>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</si>
  <si>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</si>
  <si>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</si>
  <si>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</si>
  <si>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</si>
  <si>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</si>
  <si>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</si>
  <si>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</si>
  <si>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</si>
  <si>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</si>
  <si>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</si>
  <si>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</si>
  <si>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</si>
  <si>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</si>
  <si>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</si>
  <si>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</si>
  <si>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</si>
  <si>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</si>
  <si>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</si>
  <si>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</si>
  <si>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</si>
  <si>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</si>
  <si>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</si>
  <si>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</si>
  <si>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</si>
  <si>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</si>
  <si>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</si>
  <si>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</si>
  <si>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</si>
  <si>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</si>
  <si>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</si>
  <si>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</si>
  <si>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</si>
  <si>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</si>
  <si>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</si>
  <si>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</si>
  <si>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</si>
  <si>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</si>
  <si>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</si>
  <si>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</si>
  <si>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</si>
  <si>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</si>
  <si>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</si>
  <si>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</si>
  <si>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</si>
  <si>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</si>
  <si>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</si>
  <si>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</si>
  <si>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</si>
  <si>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</si>
  <si>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</si>
  <si>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</si>
  <si>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</si>
  <si>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</si>
  <si>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</si>
  <si>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</si>
  <si>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</si>
  <si>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</si>
  <si>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</si>
  <si>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</si>
  <si>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</si>
  <si>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</si>
  <si>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</si>
  <si>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</si>
  <si>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</si>
  <si>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</si>
  <si>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</si>
  <si>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</si>
  <si>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</si>
  <si>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</si>
  <si>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</si>
  <si>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</si>
  <si>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</si>
  <si>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</si>
  <si>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</si>
  <si>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</si>
  <si>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</si>
  <si>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</si>
  <si>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</si>
  <si>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</si>
  <si>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</si>
  <si>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</si>
  <si>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</si>
  <si>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</si>
  <si>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</si>
  <si>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</si>
  <si>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</si>
  <si>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</si>
  <si>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</si>
  <si>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</si>
  <si>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</si>
  <si>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</si>
  <si>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</si>
  <si>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</si>
  <si>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</si>
  <si>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</si>
  <si>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</si>
  <si>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</si>
  <si>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</si>
  <si>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</si>
  <si>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</si>
  <si>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</si>
  <si>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</si>
  <si>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</si>
  <si>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</si>
  <si>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</si>
  <si>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</si>
  <si>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</si>
  <si>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</si>
  <si>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</si>
  <si>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</si>
  <si>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</si>
  <si>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</si>
  <si>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</si>
  <si>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</si>
  <si>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</si>
  <si>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</si>
  <si>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</si>
  <si>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</si>
  <si>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</si>
  <si>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</si>
  <si>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</si>
  <si>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</si>
  <si>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</si>
  <si>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</si>
  <si>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</si>
  <si>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</si>
  <si>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</si>
  <si>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</si>
  <si>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</si>
  <si>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</si>
  <si>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</si>
  <si>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</si>
  <si>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</si>
  <si>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</si>
  <si>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</si>
  <si>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</si>
  <si>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</si>
  <si>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</si>
  <si>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</si>
  <si>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</si>
  <si>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</si>
  <si>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</si>
  <si>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</si>
  <si>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</si>
  <si>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</si>
  <si>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</si>
  <si>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</si>
  <si>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</si>
  <si>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</si>
  <si>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</si>
  <si>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</si>
  <si>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</si>
  <si>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</si>
  <si>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</si>
  <si>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</si>
  <si>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</si>
  <si>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</si>
  <si>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</si>
  <si>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</si>
  <si>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</si>
  <si>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</si>
  <si>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</si>
  <si>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</si>
  <si>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</si>
  <si>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</si>
  <si>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</si>
  <si>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</si>
  <si>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</si>
  <si>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</si>
  <si>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</si>
  <si>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</si>
  <si>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</si>
  <si>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</si>
  <si>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</si>
  <si>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</si>
  <si>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</si>
  <si>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</si>
  <si>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</si>
  <si>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</si>
  <si>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</si>
  <si>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</si>
  <si>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</si>
  <si>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</si>
  <si>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</si>
  <si>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</si>
  <si>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</si>
  <si>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</si>
  <si>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</si>
  <si>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</si>
  <si>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</si>
  <si>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</si>
  <si>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</si>
  <si>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</si>
  <si>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</si>
  <si>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</si>
  <si>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</si>
  <si>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</si>
  <si>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</si>
  <si>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</si>
  <si>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</si>
  <si>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</si>
  <si>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</si>
  <si>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</si>
  <si>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</si>
  <si>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</si>
  <si>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</si>
  <si>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</si>
  <si>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</si>
  <si>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</si>
  <si>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</si>
  <si>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</si>
  <si>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</si>
  <si>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</si>
  <si>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</si>
  <si>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</si>
  <si>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</si>
  <si>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</si>
  <si>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</si>
  <si>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</si>
  <si>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</si>
  <si>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</si>
  <si>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</si>
  <si>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</si>
  <si>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</si>
  <si>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</si>
  <si>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</si>
  <si>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</si>
  <si>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</si>
  <si>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</si>
  <si>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</si>
  <si>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</si>
  <si>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</si>
  <si>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</si>
  <si>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</si>
  <si>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</si>
  <si>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</si>
  <si>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</si>
  <si>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</si>
  <si>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</si>
  <si>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</si>
  <si>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</si>
  <si>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</si>
  <si>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</si>
  <si>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</si>
  <si>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</si>
  <si>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</si>
  <si>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</si>
  <si>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</si>
  <si>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</si>
  <si>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</si>
  <si>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</si>
  <si>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</si>
  <si>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</si>
  <si>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</si>
  <si>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</si>
  <si>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</si>
  <si>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</si>
  <si>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</si>
  <si>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</si>
  <si>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</si>
  <si>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</si>
  <si>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</si>
  <si>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</si>
  <si>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</si>
  <si>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</si>
  <si>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</si>
  <si>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</si>
  <si>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</si>
  <si>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</si>
  <si>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</si>
  <si>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</si>
  <si>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</si>
  <si>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</si>
  <si>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</si>
  <si>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</si>
  <si>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</si>
  <si>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</si>
  <si>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</si>
  <si>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</si>
  <si>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</si>
  <si>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</si>
  <si>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</si>
  <si>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</si>
  <si>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</si>
  <si>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</si>
  <si>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</si>
  <si>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</si>
  <si>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</si>
  <si>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</si>
  <si>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</si>
  <si>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</si>
  <si>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</si>
  <si>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</si>
  <si>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</si>
  <si>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</si>
  <si>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</si>
  <si>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</si>
  <si>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</si>
  <si>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</si>
  <si>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</si>
  <si>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</si>
  <si>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</si>
  <si>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</si>
  <si>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</si>
  <si>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</si>
  <si>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</si>
  <si>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</si>
  <si>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</si>
  <si>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</si>
  <si>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</si>
  <si>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</si>
  <si>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</si>
  <si>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</si>
  <si>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</si>
  <si>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</si>
  <si>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</si>
  <si>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</si>
  <si>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</si>
  <si>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</si>
  <si>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</si>
  <si>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</si>
  <si>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</si>
  <si>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</si>
  <si>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</si>
  <si>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</si>
  <si>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</si>
  <si>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</si>
  <si>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</si>
  <si>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</si>
  <si>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</si>
  <si>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</si>
  <si>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</si>
  <si>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</si>
  <si>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</si>
  <si>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</si>
  <si>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</si>
  <si>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</si>
  <si>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</si>
  <si>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</si>
  <si>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</si>
  <si>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</si>
  <si>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</si>
  <si>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</si>
  <si>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</si>
  <si>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</si>
  <si>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</si>
  <si>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</si>
  <si>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</si>
  <si>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</si>
  <si>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</si>
  <si>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</si>
  <si>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</si>
  <si>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</si>
  <si>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</si>
  <si>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</si>
  <si>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</si>
  <si>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</si>
  <si>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</si>
  <si>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</si>
  <si>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</si>
  <si>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</si>
  <si>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</si>
  <si>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</si>
  <si>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</si>
  <si>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</si>
  <si>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</si>
  <si>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</si>
  <si>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</si>
  <si>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</si>
  <si>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</si>
  <si>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</si>
  <si>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</si>
  <si>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</si>
  <si>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</si>
  <si>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</si>
  <si>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</si>
  <si>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</si>
  <si>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</si>
  <si>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</si>
  <si>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</si>
  <si>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</si>
  <si>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</si>
  <si>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</si>
  <si>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</si>
  <si>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</si>
  <si>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</si>
  <si>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</si>
  <si>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</si>
  <si>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</si>
  <si>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</si>
  <si>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</si>
  <si>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</si>
  <si>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</si>
  <si>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</si>
  <si>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</si>
  <si>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</si>
  <si>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</si>
  <si>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</si>
  <si>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</si>
  <si>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</si>
  <si>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</si>
  <si>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</si>
  <si>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</si>
  <si>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</si>
  <si>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</si>
  <si>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</si>
  <si>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</si>
  <si>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</si>
  <si>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</si>
  <si>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</si>
  <si>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</si>
  <si>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</si>
  <si>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</si>
  <si>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</si>
  <si>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</si>
  <si>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</si>
  <si>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</si>
  <si>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</si>
  <si>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</si>
  <si>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</si>
  <si>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</si>
  <si>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</si>
  <si>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</si>
  <si>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</si>
  <si>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</si>
  <si>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</si>
  <si>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</si>
  <si>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</si>
  <si>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</si>
  <si>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</si>
  <si>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</si>
  <si>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</si>
  <si>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</si>
  <si>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</si>
  <si>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</si>
  <si>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</si>
  <si>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</si>
  <si>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</si>
  <si>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</si>
  <si>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</si>
  <si>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</si>
  <si>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</si>
  <si>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</si>
  <si>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</si>
  <si>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</si>
  <si>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</si>
  <si>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</si>
  <si>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</si>
  <si>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</si>
  <si>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</si>
  <si>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</si>
  <si>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</si>
  <si>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</si>
  <si>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</si>
  <si>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</si>
  <si>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</si>
  <si>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</si>
  <si>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</si>
  <si>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</si>
  <si>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</si>
  <si>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</si>
  <si>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</si>
  <si>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</si>
  <si>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</si>
  <si>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</si>
  <si>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</si>
  <si>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</si>
  <si>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</si>
  <si>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</si>
  <si>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</si>
  <si>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</si>
  <si>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</si>
  <si>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</si>
  <si>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</si>
  <si>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</si>
  <si>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</si>
  <si>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</si>
  <si>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</si>
  <si>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</si>
  <si>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</si>
  <si>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</si>
  <si>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</si>
  <si>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</si>
  <si>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</si>
  <si>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</si>
  <si>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</si>
  <si>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</si>
  <si>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</si>
  <si>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</si>
  <si>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</si>
  <si>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</si>
  <si>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</si>
  <si>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</si>
  <si>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</si>
  <si>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</si>
  <si>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</si>
  <si>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</si>
  <si>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</si>
  <si>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</si>
  <si>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</si>
  <si>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</si>
  <si>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</si>
  <si>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</si>
  <si>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</si>
  <si>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</si>
  <si>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</si>
  <si>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</si>
  <si>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</si>
  <si>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</si>
  <si>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</si>
  <si>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</si>
  <si>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</si>
  <si>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</si>
  <si>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</si>
  <si>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</si>
  <si>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</si>
  <si>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</si>
  <si>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</si>
  <si>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</si>
  <si>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</si>
  <si>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</si>
  <si>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</si>
  <si>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</si>
  <si>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</si>
  <si>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</si>
  <si>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</si>
  <si>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</si>
  <si>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</si>
  <si>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</si>
  <si>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</si>
  <si>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</si>
  <si>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</si>
  <si>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</si>
  <si>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</si>
  <si>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</si>
  <si>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</si>
  <si>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</si>
  <si>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</si>
  <si>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</si>
  <si>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</si>
  <si>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</si>
  <si>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</si>
  <si>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</si>
  <si>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</si>
  <si>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</si>
  <si>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</si>
  <si>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</si>
  <si>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</si>
  <si>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</si>
  <si>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</si>
  <si>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</si>
  <si>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</si>
  <si>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</si>
  <si>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</si>
  <si>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</si>
  <si>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</si>
  <si>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</si>
  <si>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</si>
  <si>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</si>
  <si>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</si>
  <si>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</si>
  <si>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</si>
  <si>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</si>
  <si>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</si>
  <si>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</si>
  <si>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</si>
  <si>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</si>
  <si>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</si>
  <si>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</si>
  <si>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</si>
  <si>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</si>
  <si>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</si>
  <si>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</si>
  <si>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</si>
  <si>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</si>
  <si>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</si>
  <si>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</si>
  <si>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</si>
  <si>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</si>
  <si>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</si>
  <si>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</si>
  <si>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</si>
  <si>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</si>
  <si>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</si>
  <si>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</si>
  <si>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</si>
  <si>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</si>
  <si>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</si>
  <si>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</si>
  <si>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</si>
  <si>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</si>
  <si>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</si>
  <si>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</si>
  <si>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</si>
  <si>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</si>
  <si>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</si>
  <si>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</si>
  <si>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</si>
  <si>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</si>
  <si>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</si>
  <si>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</si>
  <si>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</si>
  <si>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</si>
  <si>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</si>
  <si>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</si>
  <si>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</si>
  <si>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</si>
  <si>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</si>
  <si>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</si>
  <si>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</si>
  <si>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</si>
  <si>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</si>
  <si>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</si>
  <si>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</si>
  <si>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</si>
  <si>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</si>
  <si>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</si>
  <si>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</si>
  <si>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</si>
  <si>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</si>
  <si>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</si>
  <si>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</si>
  <si>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</si>
  <si>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</si>
  <si>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</si>
  <si>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</si>
  <si>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</si>
  <si>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</si>
  <si>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</si>
  <si>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</si>
  <si>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</si>
  <si>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</si>
  <si>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</si>
  <si>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</si>
  <si>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</si>
  <si>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</si>
  <si>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</si>
  <si>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</si>
  <si>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</si>
  <si>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</si>
  <si>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</si>
  <si>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</si>
  <si>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</si>
  <si>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</si>
  <si>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</si>
  <si>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</si>
  <si>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</si>
  <si>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</si>
  <si>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</si>
  <si>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</si>
  <si>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</si>
  <si>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</si>
  <si>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</si>
  <si>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</si>
  <si>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</si>
  <si>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</si>
  <si>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</si>
  <si>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</si>
  <si>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</si>
  <si>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</si>
  <si>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</si>
  <si>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</si>
  <si>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</si>
  <si>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</si>
  <si>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</si>
  <si>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</si>
  <si>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</si>
  <si>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</si>
  <si>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</si>
  <si>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</si>
  <si>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</si>
  <si>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</si>
  <si>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</si>
  <si>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</si>
  <si>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</si>
  <si>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</si>
  <si>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</si>
  <si>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</si>
  <si>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</si>
  <si>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</si>
  <si>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</si>
  <si>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</si>
  <si>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</si>
  <si>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</si>
  <si>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</si>
  <si>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</si>
  <si>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</si>
  <si>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</si>
  <si>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</si>
  <si>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</si>
  <si>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</si>
  <si>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</si>
  <si>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</si>
  <si>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</si>
  <si>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</si>
  <si>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</si>
  <si>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</si>
  <si>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</si>
  <si>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</si>
  <si>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</si>
  <si>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</si>
  <si>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</si>
  <si>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</si>
  <si>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</si>
  <si>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</si>
  <si>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</si>
  <si>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</si>
  <si>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</si>
  <si>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</si>
  <si>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</si>
  <si>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</si>
  <si>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</si>
  <si>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</si>
  <si>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</si>
  <si>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</si>
  <si>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</si>
  <si>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</si>
  <si>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</si>
  <si>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</si>
  <si>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</si>
  <si>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</si>
  <si>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</si>
  <si>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</si>
  <si>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</si>
  <si>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</si>
  <si>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</si>
  <si>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</si>
  <si>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</si>
  <si>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</si>
  <si>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</si>
  <si>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</si>
  <si>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</si>
  <si>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</si>
  <si>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</si>
  <si>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</si>
  <si>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</si>
  <si>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</si>
  <si>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</si>
  <si>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</si>
  <si>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</si>
  <si>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</si>
  <si>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</si>
  <si>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</si>
  <si>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</si>
  <si>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</si>
  <si>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</si>
  <si>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</si>
  <si>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</si>
  <si>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</si>
  <si>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</si>
  <si>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</si>
  <si>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</si>
  <si>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</si>
  <si>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</si>
  <si>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</si>
  <si>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</si>
  <si>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</si>
  <si>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</si>
  <si>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</si>
  <si>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</si>
  <si>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</si>
  <si>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</si>
  <si>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</si>
  <si>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</si>
  <si>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</si>
  <si>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</si>
  <si>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</si>
  <si>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</si>
  <si>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</si>
  <si>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</si>
  <si>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</si>
  <si>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</si>
  <si>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</si>
  <si>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</si>
  <si>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</si>
  <si>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</si>
  <si>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</si>
  <si>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</si>
  <si>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</si>
  <si>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</si>
  <si>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</si>
  <si>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</si>
  <si>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</si>
  <si>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</si>
  <si>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</si>
  <si>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</si>
  <si>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</si>
  <si>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</si>
  <si>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</si>
  <si>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</si>
  <si>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</si>
  <si>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</si>
  <si>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</si>
  <si>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</si>
  <si>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</si>
  <si>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</si>
  <si>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</si>
  <si>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</si>
  <si>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</si>
  <si>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</si>
  <si>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</si>
  <si>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</si>
  <si>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</si>
  <si>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</si>
  <si>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</si>
  <si>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</si>
  <si>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</si>
  <si>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</si>
  <si>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</si>
  <si>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</si>
  <si>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</si>
  <si>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</si>
  <si>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</si>
  <si>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</si>
  <si>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</si>
  <si>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</si>
  <si>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</si>
  <si>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</si>
  <si>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</si>
  <si>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</si>
  <si>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</si>
  <si>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</si>
  <si>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</si>
  <si>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</si>
  <si>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</si>
  <si>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</si>
  <si>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</si>
  <si>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</si>
  <si>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</si>
  <si>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</si>
  <si>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</si>
  <si>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</si>
  <si>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</si>
  <si>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</si>
  <si>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</si>
  <si>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</si>
  <si>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</si>
  <si>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</si>
  <si>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</si>
  <si>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</si>
  <si>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</si>
  <si>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</si>
  <si>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</si>
  <si>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</si>
  <si>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</si>
  <si>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</si>
  <si>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</si>
  <si>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</si>
  <si>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</si>
  <si>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</si>
  <si>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</si>
  <si>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</si>
  <si>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</si>
  <si>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</si>
  <si>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</si>
  <si>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</si>
  <si>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</si>
  <si>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</si>
  <si>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</si>
  <si>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</si>
  <si>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</si>
  <si>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</si>
  <si>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</si>
  <si>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</si>
  <si>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</si>
  <si>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</si>
  <si>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</si>
  <si>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</si>
  <si>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</si>
  <si>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</si>
  <si>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</si>
  <si>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</si>
  <si>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</si>
  <si>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</si>
  <si>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</si>
  <si>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</si>
  <si>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</si>
  <si>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</si>
  <si>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</si>
  <si>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</si>
  <si>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</si>
  <si>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</si>
  <si>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</si>
  <si>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</si>
  <si>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</si>
  <si>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</si>
  <si>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</si>
  <si>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</si>
  <si>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</si>
  <si>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</si>
  <si>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</si>
  <si>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</si>
  <si>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</si>
  <si>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</si>
  <si>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</si>
  <si>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</si>
  <si>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</si>
  <si>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</si>
  <si>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</si>
  <si>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</si>
  <si>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</si>
  <si>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</si>
  <si>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</si>
  <si>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</si>
  <si>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</si>
  <si>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</si>
  <si>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</si>
  <si>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</si>
  <si>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</si>
  <si>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</si>
  <si>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</si>
  <si>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</si>
  <si>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</si>
  <si>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</si>
  <si>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</si>
  <si>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</si>
  <si>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</si>
  <si>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</si>
  <si>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</si>
  <si>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</si>
  <si>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</si>
  <si>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</si>
  <si>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</si>
  <si>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</si>
  <si>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</si>
  <si>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</si>
  <si>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</si>
  <si>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</si>
  <si>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</si>
  <si>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</si>
  <si>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</si>
  <si>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</si>
  <si>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</si>
  <si>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</si>
  <si>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</si>
  <si>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</si>
  <si>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</si>
  <si>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</si>
  <si>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</si>
  <si>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</si>
  <si>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</si>
  <si>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</si>
  <si>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</si>
  <si>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</si>
  <si>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</si>
  <si>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</si>
  <si>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</si>
  <si>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</si>
  <si>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</si>
  <si>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</si>
  <si>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</si>
  <si>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</si>
  <si>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</si>
  <si>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</si>
  <si>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</si>
  <si>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</si>
  <si>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</si>
  <si>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</si>
  <si>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</si>
  <si>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</si>
  <si>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</si>
  <si>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</si>
  <si>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</si>
  <si>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</si>
  <si>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</si>
  <si>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</si>
  <si>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</si>
  <si>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</si>
  <si>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</si>
  <si>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</si>
  <si>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</si>
  <si>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</si>
  <si>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</si>
  <si>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</si>
  <si>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</si>
  <si>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</si>
  <si>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</si>
  <si>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</si>
  <si>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</si>
  <si>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</si>
  <si>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</si>
  <si>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</si>
  <si>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</si>
  <si>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</si>
  <si>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</si>
  <si>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</si>
  <si>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</si>
  <si>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</si>
  <si>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</si>
  <si>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</si>
  <si>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</si>
  <si>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</si>
  <si>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</si>
  <si>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</si>
  <si>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</si>
  <si>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</si>
  <si>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</si>
  <si>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</si>
  <si>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</si>
  <si>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</si>
  <si>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</si>
  <si>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</si>
  <si>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</si>
  <si>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</si>
  <si>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</si>
  <si>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</si>
  <si>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</si>
  <si>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</si>
  <si>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</si>
  <si>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</si>
  <si>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</si>
  <si>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</si>
  <si>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</si>
  <si>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</si>
  <si>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</si>
  <si>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</si>
  <si>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</si>
  <si>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</si>
  <si>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</si>
  <si>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</si>
  <si>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</si>
  <si>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</si>
  <si>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</si>
  <si>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</si>
  <si>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</si>
  <si>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</si>
  <si>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</si>
  <si>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</si>
  <si>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</si>
  <si>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</si>
  <si>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</si>
  <si>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</si>
  <si>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</si>
  <si>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</si>
  <si>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</si>
  <si>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</si>
  <si>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</si>
  <si>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</si>
  <si>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</si>
  <si>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</si>
  <si>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</si>
  <si>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</si>
  <si>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</si>
  <si>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</si>
  <si>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</si>
  <si>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</si>
  <si>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</si>
  <si>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</si>
  <si>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</si>
  <si>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</si>
  <si>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</si>
  <si>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</si>
  <si>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</si>
  <si>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</si>
  <si>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</si>
  <si>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</si>
  <si>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</si>
  <si>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</si>
  <si>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</si>
  <si>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</si>
  <si>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</si>
  <si>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</si>
  <si>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</si>
  <si>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</si>
  <si>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</si>
  <si>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</si>
  <si>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</si>
  <si>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</si>
  <si>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</si>
  <si>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</si>
  <si>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</si>
  <si>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</si>
  <si>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</si>
  <si>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</si>
  <si>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</si>
  <si>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</si>
  <si>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</si>
  <si>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</si>
  <si>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</si>
  <si>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</si>
  <si>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</si>
  <si>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</si>
  <si>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</si>
  <si>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</si>
  <si>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</si>
  <si>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</si>
  <si>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</si>
  <si>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</si>
  <si>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</si>
  <si>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</si>
  <si>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</si>
  <si>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</si>
  <si>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</si>
  <si>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</si>
  <si>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</si>
  <si>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</si>
  <si>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</si>
  <si>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</si>
  <si>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</si>
  <si>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</si>
  <si>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</si>
  <si>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</si>
  <si>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</si>
  <si>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</si>
  <si>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</si>
  <si>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</si>
  <si>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</si>
  <si>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</si>
  <si>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</si>
  <si>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</si>
  <si>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</si>
  <si>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</si>
  <si>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</si>
  <si>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</si>
  <si>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</si>
  <si>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</si>
  <si>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</si>
  <si>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</si>
  <si>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</si>
  <si>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</si>
  <si>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</si>
  <si>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</si>
  <si>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</si>
  <si>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</si>
  <si>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</si>
  <si>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</si>
  <si>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</si>
  <si>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</si>
  <si>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</si>
  <si>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</si>
  <si>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</si>
  <si>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</si>
  <si>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</si>
  <si>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</si>
  <si>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</si>
  <si>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</si>
  <si>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</si>
  <si>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</si>
  <si>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</si>
  <si>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</si>
  <si>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</si>
  <si>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</si>
  <si>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</si>
  <si>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</si>
  <si>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</si>
  <si>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</si>
  <si>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</si>
  <si>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</si>
  <si>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</si>
  <si>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</si>
  <si>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</si>
  <si>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</si>
  <si>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</si>
  <si>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</si>
  <si>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</si>
  <si>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</si>
  <si>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</si>
  <si>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</si>
  <si>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</si>
  <si>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</si>
  <si>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</si>
  <si>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</si>
  <si>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</si>
  <si>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</si>
  <si>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</si>
  <si>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</si>
  <si>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</si>
  <si>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</si>
  <si>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</si>
  <si>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</si>
  <si>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</si>
  <si>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</si>
  <si>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</si>
  <si>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</si>
  <si>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</si>
  <si>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</si>
  <si>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</si>
  <si>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</si>
  <si>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</si>
  <si>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</si>
  <si>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</si>
  <si>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</si>
  <si>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</si>
  <si>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</si>
  <si>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</si>
  <si>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</si>
  <si>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</si>
  <si>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</si>
  <si>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</si>
  <si>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</si>
  <si>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</si>
  <si>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</si>
  <si>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</si>
  <si>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</si>
  <si>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</si>
  <si>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</si>
  <si>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</si>
  <si>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</si>
  <si>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</si>
  <si>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</si>
  <si>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</si>
  <si>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</si>
  <si>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</si>
  <si>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</si>
  <si>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</si>
  <si>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</si>
  <si>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</si>
  <si>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</si>
  <si>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</si>
  <si>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</si>
  <si>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</si>
  <si>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</si>
  <si>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</si>
  <si>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</si>
  <si>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</si>
  <si>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</si>
  <si>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</si>
  <si>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</si>
  <si>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</si>
  <si>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</si>
  <si>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</si>
  <si>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</si>
  <si>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</si>
  <si>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</si>
  <si>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</si>
  <si>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</si>
  <si>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</si>
  <si>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</si>
  <si>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</si>
  <si>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</si>
  <si>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</si>
  <si>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</si>
  <si>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</si>
  <si>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</si>
  <si>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</si>
  <si>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</si>
  <si>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</si>
  <si>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</si>
  <si>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</si>
  <si>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</si>
  <si>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</si>
  <si>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</si>
  <si>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</si>
  <si>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</si>
  <si>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</si>
  <si>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</si>
  <si>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</si>
  <si>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</si>
  <si>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</si>
  <si>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</si>
  <si>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</si>
  <si>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</si>
  <si>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</si>
  <si>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</si>
  <si>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</si>
  <si>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</si>
  <si>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</si>
  <si>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</si>
  <si>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</si>
  <si>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</si>
  <si>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</si>
  <si>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</si>
  <si>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</si>
  <si>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</si>
  <si>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</si>
  <si>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</si>
  <si>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</si>
  <si>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</si>
  <si>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</si>
  <si>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</si>
  <si>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</si>
  <si>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</si>
  <si>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</si>
  <si>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</si>
  <si>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</si>
  <si>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</si>
  <si>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</si>
  <si>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</si>
  <si>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</si>
  <si>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</si>
  <si>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</si>
  <si>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</si>
  <si>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</si>
  <si>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</si>
  <si>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</si>
  <si>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</si>
  <si>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</si>
  <si>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</si>
  <si>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</si>
  <si>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</si>
  <si>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</si>
  <si>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</si>
  <si>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</si>
  <si>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</si>
  <si>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</si>
  <si>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</si>
  <si>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</si>
  <si>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</si>
  <si>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</si>
  <si>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</si>
  <si>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</si>
  <si>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</si>
  <si>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</si>
  <si>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</si>
  <si>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</si>
  <si>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</si>
  <si>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</si>
  <si>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</si>
  <si>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</si>
  <si>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</si>
  <si>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</si>
  <si>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</si>
  <si>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</si>
  <si>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</si>
  <si>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</si>
  <si>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</si>
  <si>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</si>
  <si>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</si>
  <si>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</si>
  <si>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</si>
  <si>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</si>
  <si>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</si>
  <si>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</si>
  <si>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</si>
  <si>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</si>
  <si>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</si>
  <si>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</si>
  <si>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</si>
  <si>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</si>
  <si>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</si>
  <si>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</si>
  <si>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</si>
  <si>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</si>
  <si>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</si>
  <si>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</si>
  <si>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</si>
  <si>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</si>
  <si>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</si>
  <si>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</si>
  <si>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</si>
  <si>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</si>
  <si>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</si>
  <si>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</si>
  <si>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</si>
  <si>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</si>
  <si>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</si>
  <si>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</si>
  <si>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</si>
  <si>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</si>
  <si>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</si>
  <si>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</si>
  <si>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</si>
  <si>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</si>
  <si>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</si>
  <si>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</si>
  <si>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</si>
  <si>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</si>
  <si>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</si>
  <si>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</si>
  <si>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</si>
  <si>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</si>
  <si>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</si>
  <si>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</si>
  <si>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</si>
  <si>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</si>
  <si>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</si>
  <si>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</si>
  <si>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</si>
  <si>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</si>
  <si>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</si>
  <si>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</si>
  <si>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</si>
  <si>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</si>
  <si>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</si>
  <si>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</si>
  <si>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</si>
  <si>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</si>
  <si>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</si>
  <si>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</si>
  <si>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</si>
  <si>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</si>
  <si>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</si>
  <si>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</si>
  <si>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</si>
  <si>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</si>
  <si>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</si>
  <si>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</si>
  <si>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</si>
  <si>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</si>
  <si>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</si>
  <si>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</si>
  <si>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</si>
  <si>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</si>
  <si>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</si>
  <si>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</si>
  <si>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</si>
  <si>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</si>
  <si>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</si>
  <si>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</si>
  <si>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</si>
  <si>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</si>
  <si>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</si>
  <si>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</si>
  <si>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</si>
  <si>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</si>
  <si>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</si>
  <si>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</si>
  <si>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</si>
  <si>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</si>
  <si>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</si>
  <si>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</si>
  <si>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</si>
  <si>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</si>
  <si>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</si>
  <si>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</si>
  <si>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</si>
  <si>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</si>
  <si>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</si>
  <si>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</si>
  <si>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</si>
  <si>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</si>
  <si>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</si>
  <si>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</si>
  <si>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</si>
  <si>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</si>
  <si>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</si>
  <si>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</si>
  <si>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</si>
  <si>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</si>
  <si>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</si>
  <si>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</si>
  <si>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</si>
  <si>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</si>
  <si>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</si>
  <si>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</si>
  <si>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</si>
  <si>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</si>
  <si>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</si>
  <si>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</si>
  <si>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</si>
  <si>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</si>
  <si>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</si>
  <si>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</si>
  <si>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</si>
  <si>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</si>
  <si>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</si>
  <si>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</si>
  <si>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</si>
  <si>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</si>
  <si>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</si>
  <si>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</si>
  <si>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</si>
  <si>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</si>
  <si>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</si>
  <si>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</si>
  <si>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</si>
  <si>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</si>
  <si>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</si>
  <si>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</si>
  <si>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</si>
  <si>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</si>
  <si>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</si>
  <si>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</si>
  <si>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</si>
  <si>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</si>
  <si>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</si>
  <si>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</si>
  <si>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</si>
  <si>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</si>
  <si>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</si>
  <si>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</si>
  <si>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</si>
  <si>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</si>
  <si>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</si>
  <si>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</si>
  <si>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</si>
  <si>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</si>
  <si>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</si>
  <si>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</si>
  <si>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</si>
  <si>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</si>
  <si>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</si>
  <si>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</si>
  <si>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</si>
  <si>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</si>
  <si>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</si>
  <si>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</si>
  <si>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</si>
  <si>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</si>
  <si>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</si>
  <si>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</si>
  <si>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</si>
  <si>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</si>
  <si>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</si>
  <si>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</si>
  <si>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</si>
  <si>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</si>
  <si>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</si>
  <si>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</si>
  <si>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</si>
  <si>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</si>
  <si>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</si>
  <si>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</si>
  <si>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</si>
  <si>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</si>
  <si>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</si>
  <si>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</si>
  <si>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</si>
  <si>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</si>
  <si>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</si>
  <si>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</si>
  <si>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</si>
  <si>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</si>
  <si>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</si>
  <si>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</si>
  <si>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</si>
  <si>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</si>
  <si>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</si>
  <si>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</si>
  <si>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</si>
  <si>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</si>
  <si>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</si>
  <si>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</si>
  <si>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</si>
  <si>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</si>
  <si>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</si>
  <si>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</si>
  <si>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</si>
  <si>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</si>
  <si>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</si>
  <si>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</si>
  <si>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</si>
  <si>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</si>
  <si>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</si>
  <si>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</si>
  <si>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</si>
  <si>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</si>
  <si>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</si>
  <si>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</si>
  <si>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</si>
  <si>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</si>
  <si>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</si>
  <si>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</si>
  <si>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</si>
  <si>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</si>
  <si>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</si>
  <si>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</si>
  <si>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</si>
  <si>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</si>
  <si>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</si>
  <si>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</si>
  <si>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</si>
  <si>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</si>
  <si>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</si>
  <si>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</si>
  <si>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</si>
  <si>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</si>
  <si>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</si>
  <si>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</si>
  <si>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</si>
  <si>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</si>
  <si>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</si>
  <si>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</si>
  <si>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</si>
  <si>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</si>
  <si>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</si>
  <si>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</si>
  <si>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</si>
  <si>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</si>
  <si>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</si>
  <si>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</si>
  <si>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</si>
  <si>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</si>
  <si>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</si>
  <si>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</si>
  <si>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</si>
  <si>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</si>
  <si>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</si>
  <si>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</si>
  <si>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</si>
  <si>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</si>
  <si>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</si>
  <si>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</si>
  <si>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</si>
  <si>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</si>
  <si>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</si>
  <si>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</si>
  <si>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</si>
  <si>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</si>
  <si>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</si>
  <si>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</si>
  <si>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</si>
  <si>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</si>
  <si>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</si>
  <si>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</si>
  <si>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</si>
  <si>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</si>
  <si>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</si>
  <si>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</si>
  <si>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</si>
  <si>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</si>
  <si>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</si>
  <si>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</si>
  <si>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</si>
  <si>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</si>
  <si>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</si>
  <si>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</si>
  <si>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</si>
  <si>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</si>
  <si>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</si>
  <si>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</si>
  <si>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</si>
  <si>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</si>
  <si>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</si>
  <si>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</si>
  <si>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</si>
  <si>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</si>
  <si>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</si>
  <si>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</si>
  <si>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</si>
  <si>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</si>
  <si>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</si>
  <si>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</si>
  <si>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</si>
  <si>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</si>
  <si>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</si>
  <si>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</si>
  <si>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</si>
  <si>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</si>
  <si>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</si>
  <si>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</si>
  <si>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</si>
  <si>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</si>
  <si>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</si>
  <si>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</si>
  <si>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</si>
  <si>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</si>
  <si>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</si>
  <si>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</si>
  <si>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</si>
  <si>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</si>
  <si>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</si>
  <si>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</si>
  <si>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</si>
  <si>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</si>
  <si>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</si>
  <si>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</si>
  <si>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</si>
  <si>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</si>
  <si>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</si>
  <si>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</si>
  <si>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</si>
  <si>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</si>
  <si>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</si>
  <si>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</si>
  <si>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</si>
  <si>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</si>
  <si>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</si>
  <si>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</si>
  <si>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</si>
  <si>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</si>
  <si>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</si>
  <si>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</si>
  <si>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</si>
  <si>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</si>
  <si>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</si>
  <si>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</si>
  <si>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</si>
  <si>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</si>
  <si>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</si>
  <si>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</si>
  <si>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</si>
  <si>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</si>
  <si>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</si>
  <si>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</si>
  <si>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</si>
  <si>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</si>
  <si>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</si>
  <si>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</si>
  <si>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</si>
  <si>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</si>
  <si>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</si>
  <si>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</si>
  <si>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</si>
  <si>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</si>
  <si>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</si>
  <si>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</si>
  <si>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</si>
  <si>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</si>
  <si>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</si>
  <si>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</si>
  <si>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</si>
  <si>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</si>
  <si>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</si>
  <si>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</si>
  <si>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</si>
  <si>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</si>
  <si>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</si>
  <si>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</si>
  <si>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</si>
  <si>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</si>
  <si>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</si>
  <si>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</si>
  <si>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</si>
  <si>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</si>
  <si>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</si>
  <si>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</si>
  <si>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</si>
  <si>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</si>
  <si>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</si>
  <si>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</si>
  <si>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</si>
  <si>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</si>
  <si>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</si>
  <si>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</si>
  <si>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</si>
  <si>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</si>
  <si>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</si>
  <si>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</si>
  <si>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</si>
  <si>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</si>
  <si>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</si>
  <si>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</si>
  <si>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</si>
  <si>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</si>
  <si>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</si>
  <si>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</si>
  <si>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</si>
  <si>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</si>
  <si>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</si>
  <si>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</si>
  <si>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</si>
  <si>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</si>
  <si>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</si>
  <si>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</si>
  <si>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</si>
  <si>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</si>
  <si>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</si>
  <si>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</si>
  <si>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</si>
  <si>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</si>
  <si>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</si>
  <si>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</si>
  <si>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</si>
  <si>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</si>
  <si>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</si>
  <si>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</si>
  <si>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</si>
  <si>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</si>
  <si>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</si>
  <si>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</si>
  <si>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</si>
  <si>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</si>
  <si>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</si>
  <si>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</si>
  <si>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</si>
  <si>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</si>
  <si>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</si>
  <si>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</si>
  <si>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</si>
  <si>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</si>
  <si>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</si>
  <si>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</si>
  <si>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</si>
  <si>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</si>
  <si>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</si>
  <si>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</si>
  <si>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</si>
  <si>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</si>
  <si>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</si>
  <si>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</si>
  <si>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</si>
  <si>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</si>
  <si>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</si>
  <si>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</si>
  <si>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</si>
  <si>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</si>
  <si>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</si>
  <si>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</si>
  <si>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</si>
  <si>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</si>
  <si>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</si>
  <si>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</si>
  <si>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</si>
  <si>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</si>
  <si>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</si>
  <si>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</si>
  <si>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</si>
  <si>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</si>
  <si>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</si>
  <si>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</si>
  <si>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</si>
  <si>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</si>
  <si>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</si>
  <si>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</si>
  <si>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</si>
  <si>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</si>
  <si>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</si>
  <si>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</si>
  <si>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</si>
  <si>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</si>
  <si>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</si>
  <si>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</si>
  <si>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</si>
  <si>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</si>
  <si>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</si>
  <si>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</si>
  <si>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</si>
  <si>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</si>
  <si>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</si>
  <si>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</si>
  <si>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</si>
  <si>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</si>
  <si>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</si>
  <si>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</si>
  <si>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</si>
  <si>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</si>
  <si>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</si>
  <si>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</si>
  <si>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</si>
  <si>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</si>
  <si>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</si>
  <si>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</si>
  <si>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</si>
  <si>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</si>
  <si>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</si>
  <si>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</si>
  <si>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</si>
  <si>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</si>
  <si>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</si>
  <si>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</si>
  <si>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</si>
  <si>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</si>
  <si>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</si>
  <si>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</si>
  <si>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</si>
  <si>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</si>
  <si>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</si>
  <si>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</si>
  <si>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</si>
  <si>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</si>
  <si>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</si>
  <si>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</si>
  <si>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</si>
  <si>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</si>
  <si>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</si>
  <si>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</si>
  <si>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</si>
  <si>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</si>
  <si>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</si>
  <si>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</si>
  <si>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</si>
  <si>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</si>
  <si>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</si>
  <si>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</si>
  <si>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</si>
  <si>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</si>
  <si>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</si>
  <si>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</si>
  <si>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</si>
  <si>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</si>
  <si>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</si>
  <si>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</si>
  <si>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</si>
  <si>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</si>
  <si>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</si>
  <si>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</si>
  <si>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</si>
  <si>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</si>
  <si>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</si>
  <si>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</si>
  <si>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</si>
  <si>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</si>
  <si>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</si>
  <si>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</si>
  <si>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</si>
  <si>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</si>
  <si>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</si>
  <si>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</si>
  <si>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</si>
  <si>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</si>
  <si>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</si>
  <si>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</si>
  <si>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</si>
  <si>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</si>
  <si>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</si>
  <si>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</si>
  <si>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</si>
  <si>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</si>
  <si>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</si>
  <si>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</si>
  <si>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</si>
  <si>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</si>
  <si>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</si>
  <si>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</si>
  <si>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</si>
  <si>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</si>
  <si>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</si>
  <si>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</si>
  <si>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</si>
  <si>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</si>
  <si>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</si>
  <si>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</si>
  <si>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</si>
  <si>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</si>
  <si>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</si>
  <si>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</si>
  <si>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</si>
  <si>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</si>
  <si>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</si>
  <si>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</si>
  <si>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</si>
  <si>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</si>
  <si>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</si>
  <si>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</si>
  <si>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</si>
  <si>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</si>
  <si>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</si>
  <si>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</si>
  <si>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</si>
  <si>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</si>
  <si>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</si>
  <si>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</si>
  <si>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</si>
  <si>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</si>
  <si>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</si>
  <si>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</si>
  <si>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</si>
  <si>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</si>
  <si>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</si>
  <si>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</si>
  <si>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</si>
  <si>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</si>
  <si>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</si>
  <si>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</si>
  <si>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</si>
  <si>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</si>
  <si>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</si>
  <si>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</si>
  <si>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</si>
  <si>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</si>
  <si>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</si>
  <si>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</si>
  <si>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</si>
  <si>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</si>
  <si>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</si>
  <si>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</si>
  <si>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</si>
  <si>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</si>
  <si>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</si>
  <si>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</si>
  <si>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</si>
  <si>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</si>
  <si>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</si>
  <si>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</si>
  <si>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</si>
  <si>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</si>
  <si>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</si>
  <si>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</si>
  <si>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</si>
  <si>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</si>
  <si>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</si>
  <si>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</si>
  <si>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</si>
  <si>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</si>
  <si>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</si>
  <si>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</si>
  <si>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</si>
  <si>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</si>
  <si>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</si>
  <si>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</si>
  <si>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</si>
  <si>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</si>
  <si>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</si>
  <si>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</si>
  <si>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</si>
  <si>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</si>
  <si>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</si>
  <si>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</si>
  <si>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</si>
  <si>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</si>
  <si>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</si>
  <si>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</si>
  <si>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</si>
  <si>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</si>
  <si>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</si>
  <si>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</si>
  <si>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</si>
  <si>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</si>
  <si>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</si>
  <si>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</si>
  <si>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</si>
  <si>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</si>
  <si>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</si>
  <si>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</si>
  <si>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</si>
  <si>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</si>
  <si>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</si>
  <si>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</si>
  <si>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</si>
  <si>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</si>
  <si>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</si>
  <si>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</si>
  <si>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</si>
  <si>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</si>
  <si>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</si>
  <si>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</si>
  <si>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</si>
  <si>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</si>
  <si>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</si>
  <si>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</si>
  <si>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</si>
  <si>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</si>
  <si>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</si>
  <si>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</si>
  <si>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</si>
  <si>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</si>
  <si>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</si>
  <si>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</si>
  <si>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</si>
  <si>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</si>
  <si>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</si>
  <si>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</si>
  <si>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</si>
  <si>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</si>
  <si>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</si>
  <si>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</si>
  <si>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</si>
  <si>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</si>
  <si>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</si>
  <si>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</si>
  <si>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</si>
  <si>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</si>
  <si>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</si>
  <si>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</si>
  <si>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</si>
  <si>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</si>
  <si>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</si>
  <si>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</si>
  <si>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</si>
  <si>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</si>
  <si>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</si>
  <si>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</si>
  <si>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</si>
  <si>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</si>
  <si>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</si>
  <si>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</si>
  <si>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</si>
  <si>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</si>
  <si>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</si>
  <si>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</si>
  <si>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</si>
  <si>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</si>
  <si>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</si>
  <si>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</si>
  <si>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</si>
  <si>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</si>
  <si>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</si>
  <si>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</si>
  <si>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</si>
  <si>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</si>
  <si>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</si>
  <si>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</si>
  <si>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</si>
  <si>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</si>
  <si>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</si>
  <si>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</si>
  <si>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</si>
  <si>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</si>
  <si>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</si>
  <si>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</si>
  <si>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</si>
  <si>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</si>
  <si>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</si>
  <si>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</si>
  <si>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</si>
  <si>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</si>
  <si>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</si>
  <si>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</si>
  <si>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</si>
  <si>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</si>
  <si>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</si>
  <si>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</si>
  <si>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</si>
  <si>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</si>
  <si>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</si>
  <si>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</si>
  <si>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</si>
  <si>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</si>
  <si>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</si>
  <si>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</si>
  <si>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</si>
  <si>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</si>
  <si>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</si>
  <si>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</si>
  <si>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</si>
  <si>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</si>
  <si>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</si>
  <si>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</si>
  <si>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</si>
  <si>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</si>
  <si>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</si>
  <si>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</si>
  <si>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</si>
  <si>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</si>
  <si>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</si>
  <si>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</si>
  <si>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</si>
  <si>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</si>
  <si>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</si>
  <si>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</si>
  <si>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</si>
  <si>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</si>
  <si>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</si>
  <si>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</si>
  <si>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</si>
  <si>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</si>
  <si>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</si>
  <si>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</si>
  <si>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</si>
  <si>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</si>
  <si>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</si>
  <si>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</si>
  <si>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</si>
  <si>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</si>
  <si>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</si>
  <si>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</si>
  <si>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</si>
  <si>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</si>
  <si>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</si>
  <si>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</si>
  <si>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</si>
  <si>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</si>
  <si>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</si>
  <si>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</si>
  <si>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</si>
  <si>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</si>
  <si>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</si>
  <si>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</si>
  <si>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</si>
  <si>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</si>
  <si>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</si>
  <si>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</si>
  <si>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</si>
  <si>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</si>
  <si>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</si>
  <si>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</si>
  <si>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</si>
  <si>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</si>
  <si>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</si>
  <si>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</si>
  <si>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</si>
  <si>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</si>
  <si>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</si>
  <si>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</si>
  <si>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</si>
  <si>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</si>
  <si>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</si>
  <si>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</si>
  <si>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</si>
  <si>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</si>
  <si>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</si>
  <si>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</si>
  <si>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</si>
  <si>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</si>
  <si>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</si>
  <si>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</si>
  <si>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</si>
  <si>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</si>
  <si>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</si>
  <si>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</si>
  <si>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</si>
  <si>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</si>
  <si>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</si>
  <si>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</si>
  <si>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</si>
  <si>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</si>
  <si>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</si>
  <si>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</si>
  <si>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</si>
  <si>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</si>
  <si>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</si>
  <si>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</si>
  <si>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</si>
  <si>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</si>
  <si>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</si>
  <si>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</si>
  <si>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</si>
  <si>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</si>
  <si>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</si>
  <si>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</si>
  <si>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</si>
  <si>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</si>
  <si>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</si>
  <si>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</si>
  <si>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</si>
  <si>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</si>
  <si>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</si>
  <si>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</si>
  <si>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</si>
  <si>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</si>
  <si>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</si>
  <si>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</si>
  <si>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</si>
  <si>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</si>
  <si>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</si>
  <si>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</si>
  <si>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</si>
  <si>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</si>
  <si>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</si>
  <si>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</si>
  <si>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</si>
  <si>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</si>
  <si>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</si>
  <si>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</si>
  <si>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</si>
  <si>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</si>
  <si>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</si>
  <si>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</si>
  <si>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</si>
  <si>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</si>
  <si>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</si>
  <si>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</si>
  <si>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</si>
  <si>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</si>
  <si>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</si>
  <si>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</si>
  <si>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</si>
  <si>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</si>
  <si>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</si>
  <si>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</si>
  <si>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</si>
  <si>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</si>
  <si>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</si>
  <si>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</si>
  <si>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</si>
  <si>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</si>
  <si>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</si>
  <si>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</si>
  <si>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</si>
  <si>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</si>
  <si>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</si>
  <si>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</si>
  <si>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</si>
  <si>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</si>
  <si>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</si>
  <si>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</si>
  <si>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</si>
  <si>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</si>
  <si>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</si>
  <si>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</si>
  <si>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</si>
  <si>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</si>
  <si>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</si>
  <si>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</si>
  <si>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</si>
  <si>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</si>
  <si>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</si>
  <si>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</si>
  <si>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</si>
  <si>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</si>
  <si>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</si>
  <si>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</si>
  <si>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</si>
  <si>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</si>
  <si>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</si>
  <si>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</si>
  <si>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</si>
  <si>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</si>
  <si>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</si>
  <si>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</si>
  <si>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</si>
  <si>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</si>
  <si>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</si>
  <si>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</si>
  <si>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</si>
  <si>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</si>
  <si>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</si>
  <si>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</si>
  <si>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</si>
  <si>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</si>
  <si>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</si>
  <si>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</si>
  <si>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</si>
  <si>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</si>
  <si>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</si>
  <si>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</si>
  <si>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</si>
  <si>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</si>
  <si>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</si>
  <si>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</si>
  <si>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</si>
  <si>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</si>
  <si>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</si>
  <si>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</si>
  <si>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</si>
  <si>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</si>
  <si>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</si>
  <si>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</si>
  <si>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</si>
  <si>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</si>
  <si>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</si>
  <si>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</si>
  <si>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</si>
  <si>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</si>
  <si>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</si>
  <si>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</si>
  <si>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</si>
  <si>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</si>
  <si>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</si>
  <si>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</si>
  <si>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</si>
  <si>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</si>
  <si>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</si>
  <si>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</si>
  <si>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</si>
  <si>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</si>
  <si>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</si>
  <si>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</si>
  <si>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</si>
  <si>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</si>
  <si>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</si>
  <si>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</si>
  <si>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</si>
  <si>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</si>
  <si>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</si>
  <si>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</si>
  <si>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</si>
  <si>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</si>
  <si>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</si>
  <si>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</si>
  <si>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</si>
  <si>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</si>
  <si>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</si>
  <si>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</si>
  <si>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</si>
  <si>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</si>
  <si>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</si>
  <si>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</si>
  <si>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</si>
  <si>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</si>
  <si>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</si>
  <si>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</si>
  <si>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</si>
  <si>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</si>
  <si>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</si>
  <si>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</si>
  <si>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</si>
  <si>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</si>
  <si>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</si>
  <si>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</si>
  <si>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</si>
  <si>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</si>
  <si>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</si>
  <si>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</si>
  <si>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</si>
  <si>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</si>
  <si>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</si>
  <si>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</si>
  <si>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</si>
  <si>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</si>
  <si>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</si>
  <si>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</si>
  <si>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</si>
  <si>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</si>
  <si>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</si>
  <si>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</si>
  <si>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</si>
  <si>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</si>
  <si>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</si>
  <si>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</si>
  <si>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</si>
  <si>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</si>
  <si>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</si>
  <si>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</si>
  <si>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</si>
  <si>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</si>
  <si>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</si>
  <si>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</si>
  <si>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</si>
  <si>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</si>
  <si>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</si>
  <si>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</si>
  <si>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</si>
  <si>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</si>
  <si>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</si>
  <si>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</si>
  <si>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</si>
  <si>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</si>
  <si>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</si>
  <si>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</si>
  <si>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</si>
  <si>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</si>
  <si>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</si>
  <si>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</si>
  <si>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</si>
  <si>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</si>
  <si>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</si>
  <si>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</si>
  <si>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</si>
  <si>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</si>
  <si>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</si>
  <si>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</si>
  <si>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</si>
  <si>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</si>
  <si>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</si>
  <si>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</si>
  <si>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</si>
  <si>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</si>
  <si>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</si>
  <si>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</si>
  <si>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</si>
  <si>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</si>
  <si>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</si>
  <si>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</si>
  <si>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</si>
  <si>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</si>
  <si>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</si>
  <si>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</si>
  <si>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</si>
  <si>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</si>
  <si>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</si>
  <si>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</si>
  <si>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</si>
  <si>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</si>
  <si>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</si>
  <si>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</si>
  <si>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</si>
  <si>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</si>
  <si>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</si>
  <si>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</si>
  <si>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</si>
  <si>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</si>
  <si>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</si>
  <si>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</si>
  <si>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</si>
  <si>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</si>
  <si>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</si>
  <si>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</si>
  <si>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</si>
  <si>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</si>
  <si>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</si>
  <si>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</si>
  <si>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</si>
  <si>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</si>
  <si>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</si>
  <si>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</si>
  <si>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</si>
  <si>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</si>
  <si>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</si>
  <si>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</si>
  <si>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</si>
  <si>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</si>
  <si>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</si>
  <si>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</si>
  <si>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</si>
  <si>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</si>
  <si>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</si>
  <si>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</si>
  <si>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</si>
  <si>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</si>
  <si>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</si>
  <si>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</si>
  <si>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</si>
  <si>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</si>
  <si>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</si>
  <si>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</si>
  <si>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</si>
  <si>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</si>
  <si>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</si>
  <si>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</si>
  <si>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</si>
  <si>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</si>
  <si>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</si>
  <si>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</si>
  <si>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</si>
  <si>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</si>
  <si>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</si>
  <si>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</si>
  <si>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</si>
  <si>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</si>
  <si>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</si>
  <si>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</si>
  <si>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</si>
  <si>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</si>
  <si>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</si>
  <si>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</si>
  <si>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</si>
  <si>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</si>
  <si>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</si>
  <si>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</si>
  <si>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</si>
  <si>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</si>
  <si>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</si>
  <si>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</si>
  <si>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</si>
  <si>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</si>
  <si>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</si>
  <si>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</si>
  <si>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</si>
  <si>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</si>
  <si>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</si>
  <si>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</si>
  <si>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</si>
  <si>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</si>
  <si>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</si>
  <si>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</si>
  <si>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</si>
  <si>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</si>
  <si>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</si>
  <si>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</si>
  <si>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</si>
  <si>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</si>
  <si>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</si>
  <si>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</si>
  <si>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</si>
  <si>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</si>
  <si>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</si>
  <si>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</si>
  <si>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</si>
  <si>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</si>
  <si>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</si>
  <si>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</si>
  <si>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</si>
  <si>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</si>
  <si>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</si>
  <si>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</si>
  <si>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</si>
  <si>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</si>
  <si>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</si>
  <si>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</si>
  <si>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</si>
  <si>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</si>
  <si>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</si>
  <si>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</si>
  <si>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</si>
  <si>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</si>
  <si>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</si>
  <si>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</si>
  <si>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</si>
  <si>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</si>
  <si>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</si>
  <si>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</si>
  <si>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</si>
  <si>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</si>
  <si>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</si>
  <si>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</si>
  <si>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</si>
  <si>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</si>
  <si>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</si>
  <si>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</si>
  <si>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</si>
  <si>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</si>
  <si>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</si>
  <si>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</si>
  <si>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</si>
  <si>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</si>
  <si>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</si>
  <si>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</si>
  <si>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</si>
  <si>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</si>
  <si>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</si>
  <si>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</si>
  <si>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</si>
  <si>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</si>
  <si>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</si>
  <si>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</si>
  <si>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</si>
  <si>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</si>
  <si>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</si>
  <si>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</si>
  <si>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</si>
  <si>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</si>
  <si>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</si>
  <si>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</si>
  <si>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</si>
  <si>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</si>
  <si>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</si>
  <si>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</si>
  <si>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</si>
  <si>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</si>
  <si>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</si>
  <si>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</si>
  <si>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</si>
  <si>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</si>
  <si>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</si>
  <si>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</si>
  <si>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</si>
  <si>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</si>
  <si>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</si>
  <si>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</si>
  <si>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</si>
  <si>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</si>
  <si>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</si>
  <si>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</si>
  <si>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</si>
  <si>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</si>
  <si>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</si>
  <si>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</si>
  <si>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</si>
  <si>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</si>
  <si>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</si>
  <si>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</si>
  <si>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</si>
  <si>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</si>
  <si>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</si>
  <si>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</si>
  <si>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</si>
  <si>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</si>
  <si>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</si>
  <si>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</si>
  <si>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</si>
  <si>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</si>
  <si>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</si>
  <si>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</si>
  <si>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</si>
  <si>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</si>
  <si>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</si>
  <si>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</si>
  <si>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</si>
  <si>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</si>
  <si>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</si>
  <si>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</si>
  <si>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</si>
  <si>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</si>
  <si>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</si>
  <si>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</si>
  <si>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</si>
  <si>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</si>
  <si>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</si>
  <si>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</si>
  <si>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</si>
  <si>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</si>
  <si>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</si>
  <si>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</si>
  <si>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</si>
  <si>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</si>
  <si>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</si>
  <si>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</si>
  <si>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</si>
  <si>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</si>
  <si>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</si>
  <si>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</si>
  <si>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</si>
  <si>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</si>
  <si>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</si>
  <si>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</si>
  <si>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</si>
  <si>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</si>
  <si>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</si>
  <si>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</si>
  <si>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</si>
  <si>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</si>
  <si>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</si>
  <si>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</si>
  <si>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</si>
  <si>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</si>
  <si>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</si>
  <si>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</si>
  <si>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</si>
  <si>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</si>
  <si>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</si>
  <si>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</si>
  <si>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</si>
  <si>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</si>
  <si>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</si>
  <si>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</si>
  <si>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</si>
  <si>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</si>
  <si>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</si>
  <si>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</si>
  <si>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</si>
  <si>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</si>
  <si>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</si>
  <si>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</si>
  <si>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</si>
  <si>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</si>
  <si>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</si>
  <si>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</si>
  <si>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</si>
  <si>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</si>
  <si>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</si>
  <si>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</si>
  <si>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</si>
  <si>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</si>
  <si>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</si>
  <si>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</si>
  <si>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</si>
  <si>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</si>
  <si>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</si>
  <si>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</si>
  <si>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</si>
  <si>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</si>
  <si>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</si>
  <si>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</si>
  <si>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</si>
  <si>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</si>
  <si>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</si>
  <si>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</si>
  <si>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</si>
  <si>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</si>
  <si>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</si>
  <si>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</si>
  <si>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</si>
  <si>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</si>
  <si>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</si>
  <si>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</si>
  <si>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</si>
  <si>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</si>
  <si>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</si>
  <si>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</si>
  <si>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</si>
  <si>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</si>
  <si>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</si>
  <si>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</si>
  <si>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</si>
  <si>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</si>
  <si>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</si>
  <si>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</si>
  <si>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</si>
  <si>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</si>
  <si>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</si>
  <si>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</si>
  <si>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</si>
  <si>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</si>
  <si>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</si>
  <si>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</si>
  <si>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</si>
  <si>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</si>
  <si>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</si>
  <si>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</si>
  <si>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</si>
  <si>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</si>
  <si>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</si>
  <si>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</si>
  <si>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</si>
  <si>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</si>
  <si>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</si>
  <si>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</si>
  <si>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</si>
  <si>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</si>
  <si>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</si>
  <si>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</si>
  <si>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</si>
  <si>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</si>
  <si>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</si>
  <si>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</si>
  <si>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</si>
  <si>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</si>
  <si>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</si>
  <si>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</si>
  <si>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</si>
  <si>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</si>
  <si>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</si>
  <si>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</si>
  <si>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</si>
  <si>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</si>
  <si>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</si>
  <si>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</si>
  <si>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</si>
  <si>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</si>
  <si>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</si>
  <si>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</si>
  <si>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</si>
  <si>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</si>
  <si>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</si>
  <si>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</si>
  <si>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</si>
  <si>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</si>
  <si>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</si>
  <si>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</si>
  <si>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</si>
  <si>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</si>
  <si>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</si>
  <si>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</si>
  <si>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</si>
  <si>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</si>
  <si>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</si>
  <si>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</si>
  <si>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</si>
  <si>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</si>
  <si>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</si>
  <si>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</si>
  <si>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</si>
  <si>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</si>
  <si>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</si>
  <si>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</si>
  <si>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</si>
  <si>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</si>
  <si>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</si>
  <si>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</si>
  <si>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</si>
  <si>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</si>
  <si>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</si>
  <si>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</si>
  <si>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</si>
  <si>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</si>
  <si>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</si>
  <si>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</si>
  <si>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</si>
  <si>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</si>
  <si>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</si>
  <si>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</si>
  <si>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</si>
  <si>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</si>
  <si>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</si>
  <si>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</si>
  <si>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</si>
  <si>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</si>
  <si>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</si>
  <si>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</si>
  <si>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</si>
  <si>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</si>
  <si>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</si>
  <si>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</si>
  <si>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</si>
  <si>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</si>
  <si>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</si>
  <si>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</si>
  <si>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</si>
  <si>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</si>
  <si>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</si>
  <si>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</si>
  <si>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</si>
  <si>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</si>
  <si>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</si>
  <si>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</si>
  <si>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</si>
  <si>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</si>
  <si>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</si>
  <si>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</si>
  <si>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</si>
  <si>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</si>
  <si>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</si>
  <si>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</si>
  <si>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</si>
  <si>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</si>
  <si>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</si>
  <si>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</si>
  <si>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</si>
  <si>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</si>
  <si>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</si>
  <si>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</si>
  <si>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</si>
  <si>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</si>
  <si>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</si>
  <si>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</si>
  <si>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</si>
  <si>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</si>
  <si>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</si>
  <si>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</si>
  <si>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</si>
  <si>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</si>
  <si>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</si>
  <si>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</si>
  <si>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</si>
  <si>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</si>
  <si>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</si>
  <si>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</si>
  <si>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</si>
  <si>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</si>
  <si>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</si>
  <si>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</si>
  <si>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</si>
  <si>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</si>
  <si>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</si>
  <si>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</si>
  <si>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</si>
  <si>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</si>
  <si>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</si>
  <si>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</si>
  <si>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</si>
  <si>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</si>
  <si>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</si>
  <si>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</si>
  <si>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</si>
  <si>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</si>
  <si>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</si>
  <si>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</si>
  <si>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</si>
  <si>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</si>
  <si>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</si>
  <si>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</si>
  <si>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</si>
  <si>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</si>
  <si>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</si>
  <si>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</si>
  <si>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</si>
  <si>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</si>
  <si>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</si>
  <si>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</si>
  <si>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</si>
  <si>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</si>
  <si>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</si>
  <si>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</si>
  <si>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</si>
  <si>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</si>
  <si>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</si>
  <si>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</si>
  <si>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</si>
  <si>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</si>
  <si>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</si>
  <si>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</si>
  <si>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</si>
  <si>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</si>
  <si>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</si>
  <si>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</si>
  <si>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</si>
  <si>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</si>
  <si>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</si>
  <si>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</si>
  <si>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</si>
  <si>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</si>
  <si>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</si>
  <si>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</si>
  <si>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</si>
  <si>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</si>
  <si>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</si>
  <si>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</si>
  <si>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</si>
  <si>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</si>
  <si>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</si>
  <si>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</si>
  <si>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</si>
  <si>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</si>
  <si>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</si>
  <si>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</si>
  <si>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</si>
  <si>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</si>
  <si>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</si>
  <si>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</si>
  <si>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</si>
  <si>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</si>
  <si>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</si>
  <si>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</si>
  <si>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</si>
  <si>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</si>
  <si>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</si>
  <si>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</si>
  <si>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</si>
  <si>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</si>
  <si>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</si>
  <si>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</si>
  <si>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</si>
  <si>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</si>
  <si>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</si>
  <si>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</si>
  <si>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</si>
  <si>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</si>
  <si>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</si>
  <si>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</si>
  <si>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</si>
  <si>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</si>
  <si>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</si>
  <si>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</si>
  <si>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</si>
  <si>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</si>
  <si>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</si>
  <si>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</si>
  <si>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</si>
  <si>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</si>
  <si>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</si>
  <si>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</si>
  <si>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</si>
  <si>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</si>
  <si>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</si>
  <si>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</si>
  <si>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</si>
  <si>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</si>
  <si>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</si>
  <si>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</si>
  <si>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</si>
  <si>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</si>
  <si>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</si>
  <si>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</si>
  <si>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</si>
  <si>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</si>
  <si>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</si>
  <si>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</si>
  <si>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</si>
  <si>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</si>
  <si>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</si>
  <si>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</si>
  <si>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</si>
  <si>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</si>
  <si>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</si>
  <si>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</si>
  <si>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</si>
  <si>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</si>
  <si>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</si>
  <si>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</si>
  <si>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</si>
  <si>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</si>
  <si>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</si>
  <si>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</si>
  <si>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</si>
  <si>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</si>
  <si>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</si>
  <si>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</si>
  <si>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</si>
  <si>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</si>
  <si>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</si>
  <si>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</si>
  <si>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</si>
  <si>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</si>
  <si>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</si>
  <si>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</si>
  <si>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</si>
  <si>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</si>
  <si>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</si>
  <si>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</si>
  <si>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</si>
  <si>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</si>
  <si>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</si>
  <si>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</si>
  <si>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</si>
  <si>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</si>
  <si>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</si>
  <si>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</si>
  <si>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</si>
  <si>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</si>
  <si>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</si>
  <si>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</si>
  <si>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</si>
  <si>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</si>
  <si>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</si>
  <si>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</si>
  <si>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</si>
  <si>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</si>
  <si>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</si>
  <si>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</si>
  <si>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</si>
  <si>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</si>
  <si>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</si>
  <si>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</si>
  <si>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</si>
  <si>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</si>
  <si>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</si>
  <si>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</si>
  <si>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</si>
  <si>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</si>
  <si>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</si>
  <si>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</si>
  <si>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</si>
  <si>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</si>
  <si>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</si>
  <si>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</si>
  <si>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</si>
  <si>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</si>
  <si>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</si>
  <si>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</si>
  <si>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</si>
  <si>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</si>
  <si>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</si>
  <si>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</si>
  <si>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</si>
  <si>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</si>
  <si>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</si>
  <si>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</si>
  <si>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</si>
  <si>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</si>
  <si>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</si>
  <si>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</si>
  <si>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</si>
  <si>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</si>
  <si>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</si>
  <si>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</si>
  <si>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</si>
  <si>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</si>
  <si>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</si>
  <si>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</si>
  <si>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</si>
  <si>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</si>
  <si>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</si>
  <si>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</si>
  <si>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</si>
  <si>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</si>
  <si>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</si>
  <si>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</si>
  <si>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</si>
  <si>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</si>
  <si>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</si>
  <si>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</si>
  <si>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</si>
  <si>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</si>
  <si>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</si>
  <si>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</si>
  <si>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</si>
  <si>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</si>
  <si>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</si>
  <si>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</si>
  <si>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</si>
  <si>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</si>
  <si>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</si>
  <si>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</si>
  <si>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</si>
  <si>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</si>
  <si>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</si>
  <si>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</si>
  <si>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</si>
  <si>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</si>
  <si>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</si>
  <si>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</si>
  <si>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</si>
  <si>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</si>
  <si>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</si>
  <si>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</si>
  <si>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</si>
  <si>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</si>
  <si>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</si>
  <si>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</si>
  <si>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</si>
  <si>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</si>
  <si>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</si>
  <si>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</si>
  <si>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</si>
  <si>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</si>
  <si>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</si>
  <si>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</si>
  <si>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</si>
  <si>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</si>
  <si>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</si>
  <si>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</si>
  <si>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</si>
  <si>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</si>
  <si>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</si>
  <si>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</si>
  <si>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</si>
  <si>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</si>
  <si>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</si>
  <si>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</si>
  <si>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</si>
  <si>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</si>
  <si>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</si>
  <si>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</si>
  <si>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</si>
  <si>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</si>
  <si>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</si>
  <si>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</si>
  <si>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</si>
  <si>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</si>
  <si>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</si>
  <si>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</si>
  <si>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</si>
  <si>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</si>
  <si>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</si>
  <si>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</si>
  <si>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</si>
  <si>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</si>
  <si>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</si>
  <si>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</si>
  <si>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</si>
  <si>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</si>
  <si>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</si>
  <si>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</si>
  <si>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</si>
  <si>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</si>
  <si>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</si>
  <si>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</si>
  <si>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</si>
  <si>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</si>
  <si>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</si>
  <si>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</si>
  <si>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</si>
  <si>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</si>
  <si>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</si>
  <si>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</si>
  <si>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</si>
  <si>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</si>
  <si>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</si>
  <si>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</si>
  <si>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</si>
  <si>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</si>
  <si>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</si>
  <si>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</si>
  <si>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</si>
  <si>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</si>
  <si>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</si>
  <si>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</si>
  <si>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</si>
  <si>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</si>
  <si>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</si>
  <si>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</si>
  <si>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</si>
  <si>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</si>
  <si>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</si>
  <si>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</si>
  <si>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</si>
  <si>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</si>
  <si>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</si>
  <si>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</si>
  <si>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</si>
  <si>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</si>
  <si>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</si>
  <si>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</si>
  <si>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</si>
  <si>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</si>
  <si>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</si>
  <si>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</si>
  <si>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</si>
  <si>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</si>
  <si>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</si>
  <si>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</si>
  <si>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</si>
  <si>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</si>
  <si>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</si>
  <si>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</si>
  <si>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</si>
  <si>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</si>
  <si>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</si>
  <si>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</si>
  <si>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</si>
  <si>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</si>
  <si>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</si>
  <si>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</si>
  <si>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</si>
  <si>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</si>
  <si>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</si>
  <si>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</si>
  <si>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</si>
  <si>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</si>
  <si>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</si>
  <si>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</si>
  <si>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</si>
  <si>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</si>
  <si>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</si>
  <si>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</si>
  <si>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</si>
  <si>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</si>
  <si>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</si>
  <si>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</si>
  <si>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</si>
  <si>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</si>
  <si>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</si>
  <si>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</si>
  <si>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</si>
  <si>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</si>
  <si>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</si>
  <si>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</si>
  <si>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</si>
  <si>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</si>
  <si>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</si>
  <si>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</si>
  <si>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</si>
  <si>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</si>
  <si>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</si>
  <si>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</si>
  <si>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</si>
  <si>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</si>
  <si>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</si>
  <si>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</si>
  <si>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</si>
  <si>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</si>
  <si>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</si>
  <si>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</si>
  <si>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</si>
  <si>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</si>
  <si>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</si>
  <si>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</si>
  <si>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</si>
  <si>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</si>
  <si>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</si>
  <si>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</si>
  <si>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</si>
  <si>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</si>
  <si>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</si>
  <si>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</si>
  <si>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</si>
  <si>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</si>
  <si>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</si>
  <si>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</si>
  <si>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</si>
  <si>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</si>
  <si>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</si>
  <si>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</si>
  <si>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</si>
  <si>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</si>
  <si>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</si>
  <si>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</si>
  <si>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</si>
  <si>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</si>
  <si>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</si>
  <si>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</si>
  <si>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</si>
  <si>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</si>
  <si>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</si>
  <si>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</si>
  <si>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</si>
  <si>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</si>
  <si>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</si>
  <si>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</si>
  <si>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</si>
  <si>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</si>
  <si>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</si>
  <si>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</si>
  <si>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</si>
  <si>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</si>
  <si>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</si>
  <si>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</si>
  <si>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</si>
  <si>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</si>
  <si>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</si>
  <si>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</si>
  <si>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</si>
  <si>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</si>
  <si>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</si>
  <si>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</si>
  <si>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</si>
  <si>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</si>
  <si>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</si>
  <si>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</si>
  <si>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</si>
  <si>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</si>
  <si>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</si>
  <si>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</si>
  <si>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</si>
  <si>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</si>
  <si>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</si>
  <si>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</si>
  <si>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</si>
  <si>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</si>
  <si>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</si>
  <si>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</si>
  <si>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</si>
  <si>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</si>
  <si>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</si>
  <si>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</si>
  <si>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</si>
  <si>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</si>
  <si>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</si>
  <si>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</si>
  <si>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</si>
  <si>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</si>
  <si>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</si>
  <si>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</si>
  <si>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</si>
  <si>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</si>
  <si>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</si>
  <si>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</si>
  <si>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</si>
  <si>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</si>
  <si>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</si>
  <si>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</si>
  <si>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</si>
  <si>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</si>
  <si>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</si>
  <si>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</si>
  <si>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</si>
  <si>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</si>
  <si>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</si>
  <si>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</si>
  <si>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</si>
  <si>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</si>
  <si>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</si>
  <si>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</si>
  <si>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</si>
  <si>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</si>
  <si>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</si>
  <si>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</si>
  <si>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</si>
  <si>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</si>
  <si>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</si>
  <si>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</si>
  <si>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</si>
  <si>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</si>
  <si>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</si>
  <si>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</si>
  <si>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</si>
  <si>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</si>
  <si>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</si>
  <si>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</si>
  <si>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</si>
  <si>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</si>
  <si>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</si>
  <si>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</si>
  <si>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</si>
  <si>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</si>
  <si>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</si>
  <si>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</si>
  <si>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</si>
  <si>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</si>
  <si>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</si>
  <si>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</si>
  <si>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</si>
  <si>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</si>
  <si>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</si>
  <si>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</si>
  <si>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</si>
  <si>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</si>
  <si>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</si>
  <si>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</si>
  <si>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</si>
  <si>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</si>
  <si>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</si>
  <si>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</si>
  <si>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</si>
  <si>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</si>
  <si>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</si>
  <si>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</si>
  <si>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</si>
  <si>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</si>
  <si>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</si>
  <si>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</si>
  <si>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</si>
  <si>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</si>
  <si>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</si>
  <si>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</si>
  <si>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</si>
  <si>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</si>
  <si>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</si>
  <si>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</si>
  <si>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</si>
  <si>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</si>
  <si>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</si>
  <si>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</si>
  <si>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</si>
  <si>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</si>
  <si>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</si>
  <si>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</si>
  <si>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</si>
  <si>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</si>
  <si>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</si>
  <si>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</si>
  <si>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</si>
  <si>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</si>
  <si>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</si>
  <si>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</si>
  <si>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</si>
  <si>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</si>
  <si>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</si>
  <si>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</si>
  <si>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</si>
  <si>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</si>
  <si>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</si>
  <si>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</si>
  <si>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</si>
  <si>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</si>
  <si>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</si>
  <si>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</si>
  <si>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</si>
  <si>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</si>
  <si>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</si>
  <si>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</si>
  <si>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</si>
  <si>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</si>
  <si>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</si>
  <si>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</si>
  <si>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</si>
  <si>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</si>
  <si>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</si>
  <si>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</si>
  <si>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</si>
  <si>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</si>
  <si>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</si>
  <si>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</si>
  <si>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</si>
  <si>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</si>
  <si>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</si>
  <si>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</si>
  <si>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</si>
  <si>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</si>
  <si>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</si>
  <si>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</si>
  <si>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</si>
  <si>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</si>
  <si>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</si>
  <si>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</si>
  <si>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</si>
  <si>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</si>
  <si>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</si>
  <si>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</si>
  <si>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</si>
  <si>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</si>
  <si>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</si>
  <si>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</si>
  <si>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</si>
  <si>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</si>
  <si>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</si>
  <si>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</si>
  <si>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</si>
  <si>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</si>
  <si>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</si>
  <si>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</si>
  <si>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</si>
  <si>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</si>
  <si>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</si>
  <si>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</si>
  <si>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</si>
  <si>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</si>
  <si>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</si>
  <si>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</si>
  <si>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</si>
  <si>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</si>
  <si>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</si>
  <si>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</si>
  <si>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</si>
  <si>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</si>
  <si>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</si>
  <si>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</si>
  <si>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</si>
  <si>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</si>
  <si>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</si>
  <si>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</si>
  <si>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</si>
  <si>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</si>
  <si>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</si>
  <si>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</si>
  <si>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</si>
  <si>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</si>
  <si>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</si>
  <si>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</si>
  <si>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</si>
  <si>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</si>
  <si>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</si>
  <si>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</si>
  <si>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</si>
  <si>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</si>
  <si>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</si>
  <si>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</si>
  <si>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</si>
  <si>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</si>
  <si>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</si>
  <si>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</si>
  <si>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</si>
  <si>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</si>
  <si>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</si>
  <si>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</si>
  <si>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</si>
  <si>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</si>
  <si>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</si>
  <si>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</si>
  <si>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</si>
  <si>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</si>
  <si>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</si>
  <si>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</si>
  <si>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</si>
  <si>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</si>
  <si>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</si>
  <si>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</si>
  <si>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</si>
  <si>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</si>
  <si>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</si>
  <si>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</si>
  <si>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</si>
  <si>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</si>
  <si>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</si>
  <si>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</si>
  <si>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</si>
  <si>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</si>
  <si>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</si>
  <si>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</si>
  <si>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</si>
  <si>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</si>
  <si>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</si>
  <si>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</si>
  <si>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</si>
  <si>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</si>
  <si>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</si>
  <si>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</si>
  <si>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</si>
  <si>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</si>
  <si>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</si>
  <si>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</si>
  <si>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</si>
  <si>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</si>
  <si>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</si>
  <si>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</si>
  <si>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</si>
  <si>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</si>
  <si>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</si>
  <si>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</si>
  <si>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</si>
  <si>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</si>
  <si>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</si>
  <si>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</si>
  <si>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</si>
  <si>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</si>
  <si>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</si>
  <si>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</si>
  <si>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</si>
  <si>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</si>
  <si>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</si>
  <si>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</si>
  <si>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</si>
  <si>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</si>
  <si>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</si>
  <si>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</si>
  <si>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</si>
  <si>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</si>
  <si>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</si>
  <si>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</si>
  <si>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</si>
  <si>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</si>
  <si>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</si>
  <si>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</si>
  <si>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</si>
  <si>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</si>
  <si>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</si>
  <si>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</si>
  <si>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</si>
  <si>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</si>
  <si>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</si>
  <si>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</si>
  <si>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</si>
  <si>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</si>
  <si>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</si>
  <si>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</si>
  <si>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</si>
  <si>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</si>
  <si>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</si>
  <si>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</si>
  <si>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</si>
  <si>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</si>
  <si>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</si>
  <si>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</si>
  <si>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</si>
  <si>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</si>
  <si>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</si>
  <si>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</si>
  <si>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</si>
  <si>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</si>
  <si>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</si>
  <si>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</si>
  <si>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</si>
  <si>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</si>
  <si>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</si>
  <si>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</si>
  <si>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</si>
  <si>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</si>
  <si>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</si>
  <si>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</si>
  <si>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</si>
  <si>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</si>
  <si>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</si>
  <si>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</si>
  <si>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</si>
  <si>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</si>
  <si>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</si>
  <si>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</si>
  <si>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</si>
  <si>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</si>
  <si>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</si>
  <si>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</si>
  <si>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</si>
  <si>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</si>
  <si>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</si>
  <si>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</si>
  <si>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</si>
  <si>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</si>
  <si>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</si>
  <si>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</si>
  <si>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</si>
  <si>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</si>
  <si>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</si>
  <si>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</si>
  <si>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</si>
  <si>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</si>
  <si>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</si>
  <si>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</si>
  <si>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</si>
  <si>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</si>
  <si>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</si>
  <si>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</si>
  <si>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</si>
  <si>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</si>
  <si>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</si>
  <si>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</si>
  <si>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</si>
  <si>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</si>
  <si>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</si>
  <si>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</si>
  <si>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</si>
  <si>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</si>
  <si>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</si>
  <si>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</si>
  <si>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</si>
  <si>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</si>
  <si>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</si>
  <si>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</si>
  <si>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</si>
  <si>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</si>
  <si>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</si>
  <si>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</si>
  <si>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</si>
  <si>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</si>
  <si>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</si>
  <si>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</si>
  <si>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</si>
  <si>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</si>
  <si>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</si>
  <si>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</si>
  <si>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</si>
  <si>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</si>
  <si>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</si>
  <si>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</si>
  <si>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</si>
  <si>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</si>
  <si>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</si>
  <si>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</si>
  <si>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</si>
  <si>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</si>
  <si>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</si>
  <si>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</si>
  <si>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</si>
  <si>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</si>
  <si>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</si>
  <si>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</si>
  <si>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</si>
  <si>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</si>
  <si>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</si>
  <si>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</si>
  <si>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</si>
  <si>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</si>
  <si>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</si>
  <si>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</si>
  <si>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</si>
  <si>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</si>
  <si>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</si>
  <si>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</si>
  <si>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</si>
  <si>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</si>
  <si>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</si>
  <si>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</si>
  <si>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</si>
  <si>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</si>
  <si>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</si>
  <si>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</si>
  <si>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</si>
  <si>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</si>
  <si>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</si>
  <si>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</si>
  <si>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</si>
  <si>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</si>
  <si>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</si>
  <si>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</si>
  <si>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</si>
  <si>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</si>
  <si>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</si>
  <si>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</si>
  <si>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</si>
  <si>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</si>
  <si>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</si>
  <si>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</si>
  <si>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</si>
  <si>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</si>
  <si>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</si>
  <si>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</si>
  <si>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</si>
  <si>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</si>
  <si>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</si>
  <si>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</si>
  <si>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</si>
  <si>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</si>
  <si>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</si>
  <si>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</si>
  <si>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</si>
  <si>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</si>
  <si>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</si>
  <si>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</si>
  <si>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</si>
  <si>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</si>
  <si>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</si>
  <si>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</si>
  <si>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</si>
  <si>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</si>
  <si>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</si>
  <si>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</si>
  <si>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</si>
  <si>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</si>
  <si>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</si>
  <si>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</si>
  <si>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</si>
  <si>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</si>
  <si>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</si>
  <si>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</si>
  <si>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</si>
  <si>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</si>
  <si>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</si>
  <si>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</si>
  <si>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</si>
  <si>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</si>
  <si>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</si>
  <si>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</si>
  <si>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</si>
  <si>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</si>
  <si>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</si>
  <si>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</si>
  <si>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</si>
  <si>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</si>
  <si>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</si>
  <si>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</si>
  <si>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</si>
  <si>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</si>
  <si>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</si>
  <si>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</si>
  <si>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</si>
  <si>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</si>
  <si>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</si>
  <si>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</si>
  <si>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</si>
  <si>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</si>
  <si>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</si>
  <si>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</si>
  <si>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</si>
  <si>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</si>
  <si>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</si>
  <si>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</si>
  <si>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</si>
  <si>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</si>
  <si>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</si>
  <si>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</si>
  <si>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</si>
  <si>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</si>
  <si>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</si>
  <si>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</si>
  <si>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</si>
  <si>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</si>
  <si>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</si>
  <si>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</si>
  <si>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</si>
  <si>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</si>
  <si>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</si>
  <si>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</si>
  <si>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</si>
  <si>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</si>
  <si>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</si>
  <si>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</si>
  <si>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</si>
  <si>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</si>
  <si>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</si>
  <si>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</si>
  <si>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</si>
  <si>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</si>
  <si>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</si>
  <si>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</si>
  <si>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</si>
  <si>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</si>
  <si>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</si>
  <si>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</si>
  <si>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</si>
  <si>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</si>
  <si>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</si>
  <si>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</si>
  <si>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</si>
  <si>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</si>
  <si>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</si>
  <si>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</si>
  <si>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</si>
  <si>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</si>
  <si>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</si>
  <si>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</si>
  <si>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</si>
  <si>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</si>
  <si>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</si>
  <si>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</si>
  <si>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</si>
  <si>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</si>
  <si>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</si>
  <si>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</si>
  <si>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</si>
  <si>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</si>
  <si>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</si>
  <si>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</si>
  <si>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</si>
  <si>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</si>
  <si>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</si>
  <si>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</si>
  <si>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</si>
  <si>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</si>
  <si>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</si>
  <si>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</si>
  <si>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</si>
  <si>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</si>
  <si>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</si>
  <si>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</si>
  <si>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</si>
  <si>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</si>
  <si>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</si>
  <si>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</si>
  <si>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</si>
  <si>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</si>
  <si>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</si>
  <si>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</si>
  <si>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</si>
  <si>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</si>
  <si>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</si>
  <si>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</si>
  <si>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</si>
  <si>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</si>
  <si>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</si>
  <si>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</si>
  <si>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</si>
  <si>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</si>
  <si>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</si>
  <si>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</si>
  <si>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</si>
  <si>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</si>
  <si>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</si>
  <si>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</si>
  <si>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</si>
  <si>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</si>
  <si>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</si>
  <si>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</si>
  <si>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</si>
  <si>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</si>
  <si>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</si>
  <si>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</si>
  <si>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</si>
  <si>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</si>
  <si>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</si>
  <si>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</si>
  <si>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</si>
  <si>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</si>
  <si>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</si>
  <si>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</si>
  <si>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</si>
  <si>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</si>
  <si>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</si>
  <si>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</si>
  <si>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</si>
  <si>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</si>
  <si>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</si>
  <si>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</si>
  <si>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</si>
  <si>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</si>
  <si>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</si>
  <si>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</si>
  <si>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</si>
  <si>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</si>
  <si>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</si>
  <si>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</si>
  <si>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</si>
  <si>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</si>
  <si>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</si>
  <si>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</si>
  <si>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</si>
  <si>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</si>
  <si>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</si>
  <si>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</si>
  <si>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</si>
  <si>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</si>
  <si>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</si>
  <si>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</si>
  <si>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</si>
  <si>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</si>
  <si>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</si>
  <si>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</si>
  <si>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</si>
  <si>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</si>
  <si>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</si>
  <si>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</si>
  <si>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</si>
  <si>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</si>
  <si>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</si>
  <si>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</si>
  <si>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</si>
  <si>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</si>
  <si>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</si>
  <si>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</si>
  <si>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</si>
  <si>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</si>
  <si>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</si>
  <si>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</si>
  <si>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</si>
  <si>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</si>
  <si>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</si>
  <si>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</si>
  <si>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</si>
  <si>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</si>
  <si>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</si>
  <si>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</si>
  <si>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</si>
  <si>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</si>
  <si>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</si>
  <si>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</si>
  <si>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</si>
  <si>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</si>
  <si>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</si>
  <si>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</si>
  <si>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</si>
  <si>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</si>
  <si>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</si>
  <si>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</si>
  <si>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</si>
  <si>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</si>
  <si>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</si>
  <si>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</si>
  <si>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</si>
  <si>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</si>
  <si>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</si>
  <si>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</si>
  <si>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</si>
  <si>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</si>
  <si>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</si>
  <si>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</si>
  <si>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</si>
  <si>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</si>
  <si>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</si>
  <si>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</si>
  <si>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</si>
  <si>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</si>
  <si>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</si>
  <si>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</si>
  <si>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</si>
  <si>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</si>
  <si>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</si>
  <si>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</si>
  <si>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</si>
  <si>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</si>
  <si>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</si>
  <si>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</si>
  <si>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</si>
  <si>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</si>
  <si>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</si>
  <si>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</si>
  <si>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</si>
  <si>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</si>
  <si>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</si>
  <si>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</si>
  <si>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</si>
  <si>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</si>
  <si>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</si>
  <si>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</si>
  <si>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</si>
  <si>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</si>
  <si>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</si>
  <si>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</si>
  <si>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</si>
  <si>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</si>
  <si>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</si>
  <si>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</si>
  <si>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</si>
  <si>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</si>
  <si>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</si>
  <si>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</si>
  <si>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</si>
  <si>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</si>
  <si>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</si>
  <si>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</si>
  <si>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</si>
  <si>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</si>
  <si>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</si>
  <si>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</si>
  <si>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</si>
  <si>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</si>
  <si>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</si>
  <si>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</si>
  <si>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</si>
  <si>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</si>
  <si>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</si>
  <si>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</si>
  <si>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</si>
  <si>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</si>
  <si>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</si>
  <si>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</si>
  <si>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</si>
  <si>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</si>
  <si>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</si>
  <si>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</si>
  <si>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</si>
  <si>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</si>
  <si>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</si>
  <si>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</si>
  <si>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</si>
  <si>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</si>
  <si>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</si>
  <si>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</si>
  <si>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</si>
  <si>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</si>
  <si>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</si>
  <si>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</si>
  <si>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</si>
  <si>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</si>
  <si>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</si>
  <si>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</si>
  <si>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</si>
  <si>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</si>
  <si>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</si>
  <si>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</si>
  <si>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</si>
  <si>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</si>
  <si>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</si>
  <si>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</si>
  <si>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</si>
  <si>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</si>
  <si>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</si>
  <si>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</si>
  <si>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</si>
  <si>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</si>
  <si>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</si>
  <si>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</si>
  <si>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</si>
  <si>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</si>
  <si>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</si>
  <si>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</si>
  <si>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</si>
  <si>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</si>
  <si>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</si>
  <si>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</si>
  <si>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</si>
  <si>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</si>
  <si>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</si>
  <si>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</si>
  <si>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</si>
  <si>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</si>
  <si>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</si>
  <si>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</si>
  <si>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</si>
  <si>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</si>
  <si>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</si>
  <si>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</si>
  <si>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</si>
  <si>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</si>
  <si>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</si>
  <si>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</si>
  <si>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</si>
  <si>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</si>
  <si>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</si>
  <si>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</si>
  <si>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</si>
  <si>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</si>
  <si>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</si>
  <si>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</si>
  <si>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</si>
  <si>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</si>
  <si>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</si>
  <si>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</si>
  <si>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</si>
  <si>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</si>
  <si>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</si>
  <si>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</si>
  <si>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</si>
  <si>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</si>
  <si>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</si>
  <si>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</si>
  <si>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</si>
  <si>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</si>
  <si>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</si>
  <si>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</si>
  <si>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</si>
  <si>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</si>
  <si>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</si>
  <si>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</si>
  <si>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</si>
  <si>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</si>
  <si>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</si>
  <si>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</si>
  <si>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</si>
  <si>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</si>
  <si>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</si>
  <si>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</si>
  <si>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</si>
  <si>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</si>
  <si>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</si>
  <si>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</si>
  <si>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</si>
  <si>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</si>
  <si>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</si>
  <si>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</si>
  <si>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</si>
  <si>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</si>
  <si>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</si>
  <si>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</si>
  <si>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</si>
  <si>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</si>
  <si>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</si>
  <si>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</si>
  <si>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</si>
  <si>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</si>
  <si>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</si>
  <si>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</si>
  <si>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</si>
  <si>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</si>
  <si>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</si>
  <si>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</si>
  <si>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</si>
  <si>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</si>
  <si>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</si>
  <si>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</si>
  <si>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</si>
  <si>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</si>
  <si>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</si>
  <si>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</si>
  <si>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</si>
  <si>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</si>
  <si>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</si>
  <si>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</si>
  <si>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</si>
  <si>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</si>
  <si>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</si>
  <si>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</si>
  <si>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</si>
  <si>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</si>
  <si>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</si>
  <si>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</si>
  <si>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</si>
  <si>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</si>
  <si>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</si>
  <si>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</si>
  <si>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</si>
  <si>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</si>
  <si>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</si>
  <si>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</si>
  <si>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</si>
  <si>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</si>
  <si>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</si>
  <si>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</si>
  <si>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</si>
  <si>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</si>
  <si>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</si>
  <si>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</si>
  <si>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</si>
  <si>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</si>
  <si>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</si>
  <si>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</si>
  <si>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</si>
  <si>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</si>
  <si>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</si>
  <si>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</si>
  <si>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</si>
  <si>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</si>
  <si>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</si>
  <si>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</si>
  <si>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</si>
  <si>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</si>
  <si>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</si>
  <si>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</si>
  <si>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</si>
  <si>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</si>
  <si>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</si>
  <si>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</si>
  <si>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</si>
  <si>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</si>
  <si>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</si>
  <si>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</si>
  <si>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</si>
  <si>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</si>
  <si>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</si>
  <si>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</si>
  <si>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</si>
  <si>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</si>
  <si>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</si>
  <si>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</si>
  <si>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</si>
  <si>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</si>
  <si>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</si>
  <si>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</si>
  <si>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</si>
  <si>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</si>
  <si>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</si>
  <si>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</si>
  <si>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</si>
  <si>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</si>
  <si>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</si>
  <si>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</si>
  <si>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</si>
  <si>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</si>
  <si>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</si>
  <si>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</si>
  <si>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</si>
  <si>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</si>
  <si>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</si>
  <si>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</si>
  <si>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</si>
  <si>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</si>
  <si>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</si>
  <si>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</si>
  <si>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</si>
  <si>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</si>
  <si>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</si>
  <si>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</si>
  <si>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</si>
  <si>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</si>
  <si>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</si>
  <si>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</si>
  <si>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</si>
  <si>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</si>
  <si>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</si>
  <si>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</si>
  <si>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</si>
  <si>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</si>
  <si>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</si>
  <si>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</si>
  <si>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</si>
  <si>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</si>
  <si>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</si>
  <si>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</si>
  <si>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</si>
  <si>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</si>
  <si>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</si>
  <si>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</si>
  <si>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</si>
  <si>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</si>
  <si>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</si>
  <si>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</si>
  <si>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</si>
  <si>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</si>
  <si>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</si>
  <si>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</si>
  <si>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</si>
  <si>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</si>
  <si>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</si>
  <si>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</si>
  <si>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</si>
  <si>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</si>
  <si>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</si>
  <si>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</si>
  <si>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</si>
  <si>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</si>
  <si>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</si>
  <si>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</si>
  <si>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</si>
  <si>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</si>
  <si>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</si>
  <si>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</si>
  <si>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</si>
  <si>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</si>
  <si>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</si>
  <si>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</si>
  <si>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</si>
  <si>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</si>
  <si>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</si>
  <si>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</si>
  <si>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</si>
  <si>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</si>
  <si>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</si>
  <si>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</si>
  <si>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</si>
  <si>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</si>
  <si>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</si>
  <si>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</si>
  <si>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</si>
  <si>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</si>
  <si>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</si>
  <si>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</si>
  <si>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</si>
  <si>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</si>
  <si>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</si>
  <si>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</si>
  <si>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</si>
  <si>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</si>
  <si>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</si>
  <si>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</si>
  <si>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</si>
  <si>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</si>
  <si>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</si>
  <si>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</si>
  <si>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</si>
  <si>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</si>
  <si>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</si>
  <si>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</si>
  <si>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</si>
  <si>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</si>
  <si>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</si>
  <si>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</si>
  <si>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</si>
  <si>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</si>
  <si>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</si>
  <si>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</si>
  <si>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</si>
  <si>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</si>
  <si>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</si>
  <si>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</si>
  <si>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</si>
  <si>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</si>
  <si>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</si>
  <si>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</si>
  <si>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</si>
  <si>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</si>
  <si>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</si>
  <si>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</si>
  <si>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</si>
  <si>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</si>
  <si>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</si>
  <si>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</si>
  <si>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</si>
  <si>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</si>
  <si>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</si>
  <si>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</si>
  <si>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</si>
  <si>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</si>
  <si>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</si>
  <si>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</si>
  <si>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</si>
  <si>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</si>
  <si>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</si>
  <si>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</si>
  <si>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</si>
  <si>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</si>
  <si>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</si>
  <si>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</si>
  <si>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</si>
  <si>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</si>
  <si>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</si>
  <si>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</si>
  <si>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</si>
  <si>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</si>
  <si>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</si>
  <si>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</si>
  <si>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</si>
  <si>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</si>
  <si>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</si>
  <si>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</si>
  <si>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</si>
  <si>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</si>
  <si>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</si>
  <si>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</si>
  <si>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</si>
  <si>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</si>
  <si>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</si>
  <si>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</si>
  <si>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</si>
  <si>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</si>
  <si>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</si>
  <si>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</si>
  <si>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</si>
  <si>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</si>
  <si>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</si>
  <si>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</si>
  <si>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</si>
  <si>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</si>
  <si>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</si>
  <si>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</si>
  <si>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</si>
  <si>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</si>
  <si>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</si>
  <si>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</si>
  <si>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</si>
  <si>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</si>
  <si>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</si>
  <si>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</si>
  <si>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</si>
  <si>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</si>
  <si>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</si>
  <si>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</si>
  <si>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</si>
  <si>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</si>
  <si>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</si>
  <si>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</si>
  <si>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</si>
  <si>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</si>
  <si>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</si>
  <si>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</si>
  <si>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</si>
  <si>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</si>
  <si>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</si>
  <si>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</si>
  <si>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</si>
  <si>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</si>
  <si>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</si>
  <si>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</si>
  <si>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</si>
  <si>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</si>
  <si>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</si>
  <si>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</si>
  <si>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</si>
  <si>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</si>
  <si>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</si>
  <si>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</si>
  <si>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</si>
  <si>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</si>
  <si>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</si>
  <si>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</si>
  <si>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</si>
  <si>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</si>
  <si>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</si>
  <si>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</si>
  <si>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</si>
  <si>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</si>
  <si>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</si>
  <si>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</si>
  <si>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</si>
  <si>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</si>
  <si>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</si>
  <si>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</si>
  <si>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</si>
  <si>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</si>
  <si>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</si>
  <si>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</si>
  <si>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</si>
  <si>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</si>
  <si>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</si>
  <si>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</si>
  <si>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</si>
  <si>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</si>
  <si>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</si>
  <si>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</si>
  <si>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</si>
  <si>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</si>
  <si>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</si>
  <si>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</si>
  <si>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</si>
  <si>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</si>
  <si>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</si>
  <si>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</si>
  <si>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</si>
  <si>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</si>
  <si>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</si>
  <si>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</si>
  <si>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</si>
  <si>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</si>
  <si>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</si>
  <si>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</si>
  <si>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</si>
  <si>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</si>
  <si>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</si>
  <si>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</si>
  <si>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</si>
  <si>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</si>
  <si>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</si>
  <si>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</si>
  <si>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</si>
  <si>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</si>
  <si>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</si>
  <si>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</si>
  <si>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</si>
  <si>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</si>
  <si>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</si>
  <si>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</si>
  <si>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</si>
  <si>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</si>
  <si>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</si>
  <si>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</si>
  <si>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</si>
  <si>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</si>
  <si>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</si>
  <si>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</si>
  <si>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</si>
  <si>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</si>
  <si>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</si>
  <si>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</si>
  <si>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</si>
  <si>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</si>
  <si>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</si>
  <si>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</si>
  <si>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</si>
  <si>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</si>
  <si>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</si>
  <si>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</si>
  <si>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</si>
  <si>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</si>
  <si>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</si>
  <si>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</si>
  <si>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</si>
  <si>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</si>
  <si>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</si>
  <si>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</si>
  <si>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</si>
  <si>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</si>
  <si>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</si>
  <si>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</si>
  <si>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</si>
  <si>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</si>
  <si>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</si>
  <si>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</si>
  <si>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</si>
  <si>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</si>
  <si>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</si>
  <si>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</si>
  <si>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</si>
  <si>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</si>
  <si>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</si>
  <si>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</si>
  <si>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</si>
  <si>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</si>
  <si>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</si>
  <si>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</si>
  <si>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</si>
  <si>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</si>
  <si>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</si>
  <si>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</si>
  <si>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</si>
  <si>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</si>
  <si>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</si>
  <si>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</si>
  <si>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</si>
  <si>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</si>
  <si>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</si>
  <si>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</si>
  <si>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</si>
  <si>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</si>
  <si>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</si>
  <si>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</si>
  <si>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</si>
  <si>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</si>
  <si>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</si>
  <si>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</si>
  <si>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</si>
  <si>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</si>
  <si>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</si>
  <si>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</si>
  <si>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</si>
  <si>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</si>
  <si>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</si>
  <si>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</si>
  <si>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</si>
  <si>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</si>
  <si>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</si>
  <si>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</si>
  <si>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</si>
  <si>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</si>
  <si>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</si>
  <si>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</si>
  <si>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</si>
  <si>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</si>
  <si>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</si>
  <si>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</si>
  <si>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</si>
  <si>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</si>
  <si>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</si>
  <si>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</si>
  <si>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</si>
  <si>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</si>
  <si>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</si>
  <si>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</si>
  <si>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</si>
  <si>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</si>
  <si>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</si>
  <si>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</si>
  <si>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</si>
  <si>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</si>
  <si>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</si>
  <si>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</si>
  <si>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</si>
  <si>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</si>
  <si>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</si>
  <si>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</si>
  <si>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</si>
  <si>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</si>
  <si>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</si>
  <si>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</si>
  <si>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</si>
  <si>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</si>
  <si>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</si>
  <si>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</si>
  <si>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</si>
  <si>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</si>
  <si>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</si>
  <si>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</si>
  <si>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</si>
  <si>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</si>
  <si>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</si>
  <si>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</si>
  <si>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</si>
  <si>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</si>
  <si>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</si>
  <si>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</si>
  <si>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</si>
  <si>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</si>
  <si>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</si>
  <si>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</si>
  <si>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</si>
  <si>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</si>
  <si>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</si>
  <si>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</si>
  <si>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</si>
  <si>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</si>
  <si>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</si>
  <si>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</si>
  <si>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</si>
  <si>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</si>
  <si>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</si>
  <si>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</si>
  <si>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</si>
  <si>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</si>
  <si>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</si>
  <si>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</si>
  <si>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</si>
  <si>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</si>
  <si>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</si>
  <si>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</si>
  <si>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</si>
  <si>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</si>
  <si>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</si>
  <si>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</si>
  <si>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</si>
  <si>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</si>
  <si>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</si>
  <si>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</si>
  <si>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</si>
  <si>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</si>
  <si>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</si>
  <si>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</si>
  <si>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</si>
  <si>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</si>
  <si>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</si>
  <si>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</si>
  <si>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</si>
  <si>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</si>
  <si>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</si>
  <si>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</si>
  <si>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</si>
  <si>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</si>
  <si>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</si>
  <si>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</si>
  <si>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</si>
  <si>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</si>
  <si>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</si>
  <si>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</si>
  <si>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</si>
  <si>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</si>
  <si>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</si>
  <si>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</si>
  <si>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</si>
  <si>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</si>
  <si>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</si>
  <si>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</si>
  <si>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</si>
  <si>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</si>
  <si>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</si>
  <si>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</si>
  <si>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</si>
  <si>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</si>
  <si>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</si>
  <si>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</si>
  <si>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</si>
  <si>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</si>
  <si>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</si>
  <si>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</si>
  <si>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</si>
  <si>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</si>
  <si>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</si>
  <si>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</si>
  <si>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</si>
  <si>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</si>
  <si>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</si>
  <si>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</si>
  <si>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</si>
  <si>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</si>
  <si>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</si>
  <si>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</si>
  <si>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</si>
  <si>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</si>
  <si>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</si>
  <si>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</si>
  <si>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</si>
  <si>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</si>
  <si>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</si>
  <si>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</si>
  <si>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</si>
  <si>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</si>
  <si>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</si>
  <si>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</si>
  <si>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</si>
  <si>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</si>
  <si>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</si>
  <si>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</si>
  <si>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</si>
  <si>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</si>
  <si>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</si>
  <si>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</si>
  <si>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</si>
  <si>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</si>
  <si>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</si>
  <si>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</si>
  <si>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</si>
  <si>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</si>
  <si>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</si>
  <si>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</si>
  <si>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</si>
  <si>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</si>
  <si>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</si>
  <si>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</si>
  <si>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</si>
  <si>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</si>
  <si>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</si>
  <si>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</si>
  <si>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</si>
  <si>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</si>
  <si>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</si>
  <si>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</si>
  <si>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</si>
  <si>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</si>
  <si>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</si>
  <si>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</si>
  <si>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</si>
  <si>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</si>
  <si>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</si>
  <si>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</si>
  <si>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</si>
  <si>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</si>
  <si>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</si>
  <si>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</si>
  <si>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</si>
  <si>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</si>
  <si>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</si>
  <si>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</si>
  <si>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</si>
  <si>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</si>
  <si>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</si>
  <si>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</si>
  <si>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</si>
  <si>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</si>
  <si>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</si>
  <si>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</si>
  <si>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</si>
  <si>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</si>
  <si>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</si>
  <si>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</si>
  <si>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</si>
  <si>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</si>
  <si>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</si>
  <si>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</si>
  <si>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</si>
  <si>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</si>
  <si>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</si>
  <si>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</si>
  <si>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</si>
  <si>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</si>
  <si>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</si>
  <si>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</si>
  <si>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</si>
  <si>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</si>
  <si>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</si>
  <si>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</si>
  <si>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</si>
  <si>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</si>
  <si>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</si>
  <si>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</si>
  <si>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</si>
  <si>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</si>
  <si>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</si>
  <si>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</si>
  <si>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</si>
  <si>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</si>
  <si>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</si>
  <si>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</si>
  <si>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</si>
  <si>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</si>
  <si>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</si>
  <si>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</si>
  <si>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</si>
  <si>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</si>
  <si>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</si>
  <si>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</si>
  <si>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</si>
  <si>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</si>
  <si>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</si>
  <si>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</si>
  <si>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</si>
  <si>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</si>
  <si>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</si>
  <si>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</si>
  <si>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</si>
  <si>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</si>
  <si>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</si>
  <si>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</si>
  <si>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</si>
  <si>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</si>
  <si>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</si>
  <si>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</si>
  <si>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</si>
  <si>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</si>
  <si>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</si>
  <si>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</si>
  <si>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</si>
  <si>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</si>
  <si>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</si>
  <si>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</si>
  <si>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</si>
  <si>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</si>
  <si>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</si>
  <si>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</si>
  <si>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</si>
  <si>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</si>
  <si>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</si>
  <si>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</si>
  <si>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</si>
  <si>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</si>
  <si>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</si>
  <si>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</si>
  <si>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</si>
  <si>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</si>
  <si>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</si>
  <si>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</si>
  <si>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</si>
  <si>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</si>
  <si>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</si>
  <si>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</si>
  <si>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</si>
  <si>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</si>
  <si>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</si>
  <si>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</si>
  <si>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</si>
  <si>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</si>
  <si>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</si>
  <si>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</si>
  <si>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</si>
  <si>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</si>
  <si>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</si>
  <si>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</si>
  <si>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</si>
  <si>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</si>
  <si>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</si>
  <si>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</si>
  <si>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</si>
  <si>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</si>
  <si>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</si>
  <si>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</si>
  <si>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</si>
  <si>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</si>
  <si>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</si>
  <si>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</si>
  <si>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</si>
  <si>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</si>
  <si>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</si>
  <si>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</si>
  <si>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</si>
  <si>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</si>
  <si>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</si>
  <si>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</si>
  <si>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</si>
  <si>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</si>
  <si>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</si>
  <si>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</si>
  <si>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</si>
  <si>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</si>
  <si>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</si>
  <si>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</si>
  <si>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</si>
  <si>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</si>
  <si>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</si>
  <si>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</si>
  <si>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</si>
  <si>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</si>
  <si>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</si>
  <si>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</si>
  <si>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</si>
  <si>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</si>
  <si>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</si>
  <si>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</si>
  <si>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</si>
  <si>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</si>
  <si>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</si>
  <si>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</si>
  <si>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</si>
  <si>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</si>
  <si>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</si>
  <si>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</si>
  <si>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</si>
  <si>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</si>
  <si>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</si>
  <si>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</si>
  <si>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</si>
  <si>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</si>
  <si>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</si>
  <si>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</si>
  <si>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</si>
  <si>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</si>
  <si>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</si>
  <si>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</si>
  <si>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</si>
  <si>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</si>
  <si>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</si>
  <si>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</si>
  <si>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</si>
  <si>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</si>
  <si>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</si>
  <si>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</si>
  <si>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</si>
  <si>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</si>
  <si>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</si>
  <si>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</si>
  <si>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</si>
  <si>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</si>
  <si>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</si>
  <si>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</si>
  <si>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</si>
  <si>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</si>
  <si>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</si>
  <si>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</si>
  <si>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</si>
  <si>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</si>
  <si>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</si>
  <si>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</si>
  <si>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</si>
  <si>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</si>
  <si>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</si>
  <si>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</si>
  <si>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</si>
  <si>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</si>
  <si>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</si>
  <si>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</si>
  <si>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</si>
  <si>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</si>
  <si>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</si>
  <si>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</si>
  <si>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</si>
  <si>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</si>
  <si>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</si>
  <si>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</si>
  <si>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</si>
  <si>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</si>
  <si>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</si>
  <si>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</si>
  <si>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</si>
  <si>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</si>
  <si>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</si>
  <si>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</si>
  <si>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</si>
  <si>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</si>
  <si>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</si>
  <si>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</si>
  <si>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</si>
  <si>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</si>
  <si>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</si>
  <si>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</si>
  <si>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</si>
  <si>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</si>
  <si>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</si>
  <si>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</si>
  <si>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</si>
  <si>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</si>
  <si>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</si>
  <si>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</si>
  <si>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</si>
  <si>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</si>
  <si>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</si>
  <si>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</si>
  <si>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</si>
  <si>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</si>
  <si>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</si>
  <si>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</si>
  <si>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</si>
  <si>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</si>
  <si>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</si>
  <si>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</si>
  <si>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</si>
  <si>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</si>
  <si>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</si>
  <si>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</si>
  <si>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</si>
  <si>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</si>
  <si>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</si>
  <si>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</si>
  <si>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</si>
  <si>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</si>
  <si>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</si>
  <si>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</si>
  <si>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</si>
  <si>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</si>
  <si>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</si>
  <si>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</si>
  <si>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</si>
  <si>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</si>
  <si>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</si>
  <si>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</si>
  <si>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</si>
  <si>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</si>
  <si>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</si>
  <si>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</si>
  <si>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</si>
  <si>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</si>
  <si>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</si>
  <si>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</si>
  <si>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</si>
  <si>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</si>
  <si>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</si>
  <si>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</si>
  <si>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</si>
  <si>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</si>
  <si>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</si>
  <si>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</si>
  <si>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</si>
  <si>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</si>
  <si>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</si>
  <si>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</si>
  <si>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</si>
  <si>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</si>
  <si>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</si>
  <si>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</si>
  <si>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</si>
  <si>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</si>
  <si>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</si>
  <si>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</si>
  <si>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</si>
  <si>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</si>
  <si>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</si>
  <si>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</si>
  <si>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</si>
  <si>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</si>
  <si>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</si>
  <si>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</si>
  <si>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</si>
  <si>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</si>
  <si>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</si>
  <si>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</si>
  <si>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</si>
  <si>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</si>
  <si>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</si>
  <si>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</si>
  <si>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</si>
  <si>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</si>
  <si>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</si>
  <si>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</si>
  <si>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</si>
  <si>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</si>
  <si>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</si>
  <si>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</si>
  <si>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</si>
  <si>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</si>
  <si>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</si>
  <si>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</si>
  <si>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</si>
  <si>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</si>
  <si>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</si>
  <si>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</si>
  <si>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</si>
  <si>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</si>
  <si>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</si>
  <si>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</si>
  <si>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</si>
  <si>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</si>
  <si>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</si>
  <si>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</si>
  <si>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</si>
  <si>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</si>
  <si>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</si>
  <si>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</si>
  <si>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</si>
  <si>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</si>
  <si>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</si>
  <si>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</si>
  <si>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</si>
  <si>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</si>
  <si>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</si>
  <si>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</si>
  <si>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</si>
  <si>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</si>
  <si>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</si>
  <si>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</si>
  <si>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</si>
  <si>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</si>
  <si>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</si>
  <si>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</si>
  <si>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</si>
  <si>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</si>
  <si>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</si>
  <si>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</si>
  <si>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</si>
  <si>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</si>
  <si>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</si>
  <si>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</si>
  <si>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</si>
  <si>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</si>
  <si>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</si>
  <si>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</si>
  <si>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</si>
  <si>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</si>
  <si>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</si>
  <si>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</si>
  <si>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</si>
  <si>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</si>
  <si>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</si>
  <si>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</si>
  <si>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</si>
  <si>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</si>
  <si>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</si>
  <si>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</si>
  <si>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</si>
  <si>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</si>
  <si>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</si>
  <si>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</si>
  <si>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</si>
  <si>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</si>
  <si>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</si>
  <si>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</si>
  <si>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</si>
  <si>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</si>
  <si>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</si>
  <si>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</si>
  <si>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</si>
  <si>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</si>
  <si>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</si>
  <si>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</si>
  <si>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</si>
  <si>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</si>
  <si>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</si>
  <si>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</si>
  <si>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</si>
  <si>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</si>
  <si>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</si>
  <si>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</si>
  <si>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</si>
  <si>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</si>
  <si>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</si>
  <si>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</si>
  <si>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</si>
  <si>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</si>
  <si>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</si>
  <si>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</si>
  <si>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</si>
  <si>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</si>
  <si>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</si>
  <si>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</si>
  <si>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</si>
  <si>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</si>
  <si>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</si>
  <si>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</si>
  <si>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</si>
  <si>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</si>
  <si>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</si>
  <si>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</si>
  <si>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</si>
  <si>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</si>
  <si>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</si>
  <si>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</si>
  <si>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</si>
  <si>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</si>
  <si>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</si>
  <si>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</si>
  <si>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</si>
  <si>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</si>
  <si>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</si>
  <si>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</si>
  <si>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</si>
  <si>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</si>
  <si>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</si>
  <si>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</si>
  <si>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</si>
  <si>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</si>
  <si>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</si>
  <si>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</si>
  <si>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</si>
  <si>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</si>
  <si>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</si>
  <si>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</si>
  <si>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</si>
  <si>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</si>
  <si>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</si>
  <si>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</si>
  <si>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</si>
  <si>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</si>
  <si>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</si>
  <si>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</si>
  <si>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</si>
  <si>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</si>
  <si>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</si>
  <si>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</si>
  <si>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</si>
  <si>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</si>
  <si>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</si>
  <si>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</si>
  <si>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</si>
  <si>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</si>
  <si>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</si>
  <si>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</si>
  <si>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</si>
  <si>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</si>
  <si>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</si>
  <si>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</si>
  <si>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</si>
  <si>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</si>
  <si>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</si>
  <si>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</si>
  <si>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</si>
  <si>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</si>
  <si>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</si>
  <si>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</si>
  <si>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</si>
  <si>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</si>
  <si>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</si>
  <si>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</si>
  <si>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</si>
  <si>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</si>
  <si>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</si>
  <si>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</si>
  <si>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</si>
  <si>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</si>
  <si>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</si>
  <si>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</si>
  <si>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</si>
  <si>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</si>
  <si>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</si>
  <si>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</si>
  <si>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</si>
  <si>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</si>
  <si>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</si>
  <si>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</si>
  <si>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</si>
  <si>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</si>
  <si>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</si>
  <si>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</si>
  <si>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</si>
  <si>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</si>
  <si>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</si>
  <si>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</si>
  <si>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</si>
  <si>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</si>
  <si>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</si>
  <si>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</si>
  <si>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</si>
  <si>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</si>
  <si>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</si>
  <si>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</si>
  <si>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</si>
  <si>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</si>
  <si>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</si>
  <si>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</si>
  <si>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</si>
  <si>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</si>
  <si>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</si>
  <si>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</si>
  <si>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</si>
  <si>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</si>
  <si>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</si>
  <si>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</si>
  <si>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</si>
  <si>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</si>
  <si>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</si>
  <si>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</si>
  <si>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</si>
  <si>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</si>
  <si>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</si>
  <si>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</si>
  <si>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</si>
  <si>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</si>
  <si>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</si>
  <si>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</si>
  <si>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</si>
  <si>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</si>
  <si>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</si>
  <si>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</si>
  <si>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</si>
  <si>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</si>
  <si>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</si>
  <si>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</si>
  <si>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</si>
  <si>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</si>
  <si>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</si>
  <si>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</si>
  <si>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</si>
  <si>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</si>
  <si>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</si>
  <si>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</si>
  <si>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</si>
  <si>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</si>
  <si>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</si>
  <si>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</si>
  <si>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</si>
  <si>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</si>
  <si>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</si>
  <si>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</si>
  <si>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</si>
  <si>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</si>
  <si>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</si>
  <si>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</si>
  <si>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</si>
  <si>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</si>
  <si>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</si>
  <si>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</si>
  <si>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</si>
  <si>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</si>
  <si>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</si>
  <si>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</si>
  <si>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</si>
  <si>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</si>
  <si>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</si>
  <si>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</si>
  <si>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</si>
  <si>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</si>
  <si>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</si>
  <si>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</si>
  <si>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</si>
  <si>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</si>
  <si>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</si>
  <si>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</si>
  <si>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</si>
  <si>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</si>
  <si>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</si>
  <si>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</si>
  <si>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</si>
  <si>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</si>
  <si>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</si>
  <si>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</si>
  <si>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</si>
  <si>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</si>
  <si>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</si>
  <si>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</si>
  <si>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</si>
  <si>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</si>
  <si>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</si>
  <si>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</si>
  <si>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</si>
  <si>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</si>
  <si>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</si>
  <si>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</si>
  <si>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</si>
  <si>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</si>
  <si>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</si>
  <si>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</si>
  <si>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</si>
  <si>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</si>
  <si>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</si>
  <si>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</si>
  <si>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</si>
  <si>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</si>
  <si>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</si>
  <si>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</si>
  <si>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</si>
  <si>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</si>
  <si>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</si>
  <si>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</si>
  <si>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</si>
  <si>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</si>
  <si>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</si>
  <si>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</si>
  <si>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</si>
  <si>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</si>
  <si>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</si>
  <si>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</si>
  <si>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</si>
  <si>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</si>
  <si>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</si>
  <si>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</si>
  <si>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</si>
  <si>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</si>
  <si>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</si>
  <si>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</si>
  <si>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</si>
  <si>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</si>
  <si>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</si>
  <si>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</si>
  <si>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</si>
  <si>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</si>
  <si>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</si>
  <si>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</si>
  <si>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</si>
  <si>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</si>
  <si>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</si>
  <si>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</si>
  <si>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</si>
  <si>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</si>
  <si>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</si>
  <si>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</si>
  <si>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</si>
  <si>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</si>
  <si>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</si>
  <si>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</si>
  <si>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</si>
  <si>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</si>
  <si>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</si>
  <si>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</si>
  <si>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</si>
  <si>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</si>
  <si>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</si>
  <si>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</si>
  <si>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</si>
  <si>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</si>
  <si>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</si>
  <si>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</si>
  <si>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</si>
  <si>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</si>
  <si>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</si>
  <si>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</si>
  <si>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</si>
  <si>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</si>
  <si>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</si>
  <si>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</si>
  <si>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</si>
  <si>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</si>
  <si>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</si>
  <si>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</si>
  <si>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</si>
  <si>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</si>
  <si>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</si>
  <si>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</si>
  <si>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</si>
  <si>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</si>
  <si>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</si>
  <si>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</si>
  <si>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</si>
  <si>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</si>
  <si>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</si>
  <si>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</si>
  <si>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</si>
  <si>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</si>
  <si>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</si>
  <si>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</si>
  <si>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</si>
  <si>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</si>
  <si>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</si>
  <si>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</si>
  <si>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</si>
  <si>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</si>
  <si>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</si>
  <si>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</si>
  <si>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</si>
  <si>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</si>
  <si>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</si>
  <si>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</si>
  <si>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</si>
  <si>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</si>
  <si>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</si>
  <si>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</si>
  <si>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</si>
  <si>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</si>
  <si>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</si>
  <si>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</si>
  <si>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</si>
  <si>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</si>
  <si>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</si>
  <si>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</si>
  <si>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</si>
  <si>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</si>
  <si>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</si>
  <si>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</si>
  <si>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</si>
  <si>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</si>
  <si>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</si>
  <si>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</si>
  <si>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</si>
  <si>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</si>
  <si>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</si>
  <si>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</si>
  <si>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</si>
  <si>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</si>
  <si>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</si>
  <si>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</si>
  <si>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</si>
  <si>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</si>
  <si>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</si>
  <si>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</si>
  <si>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</si>
  <si>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</si>
  <si>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</si>
  <si>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</si>
  <si>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</si>
  <si>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</si>
  <si>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</si>
  <si>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</si>
  <si>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</si>
  <si>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</si>
  <si>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</si>
  <si>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</si>
  <si>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</si>
  <si>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</si>
  <si>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</si>
  <si>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</si>
  <si>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</si>
  <si>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</si>
  <si>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</si>
  <si>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</si>
  <si>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</si>
  <si>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</si>
  <si>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</si>
  <si>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</si>
  <si>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</si>
  <si>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</si>
  <si>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</si>
  <si>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</si>
  <si>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</si>
  <si>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</si>
  <si>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</si>
  <si>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</si>
  <si>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</si>
  <si>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</si>
  <si>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</si>
  <si>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</si>
  <si>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</si>
  <si>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</si>
  <si>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</si>
  <si>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</si>
  <si>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</si>
  <si>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</si>
  <si>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</si>
  <si>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</si>
  <si>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</si>
  <si>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</si>
  <si>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</si>
  <si>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</si>
  <si>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</si>
  <si>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</si>
  <si>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</si>
  <si>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</si>
  <si>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</si>
  <si>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</si>
  <si>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</si>
  <si>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</si>
  <si>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</si>
  <si>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</si>
  <si>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</si>
  <si>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</si>
  <si>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</si>
  <si>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</si>
  <si>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</si>
  <si>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</si>
  <si>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</si>
  <si>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</si>
  <si>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</si>
  <si>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</si>
  <si>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</si>
  <si>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</si>
  <si>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</si>
  <si>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</si>
  <si>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</si>
  <si>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</si>
  <si>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</si>
  <si>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</si>
  <si>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</si>
  <si>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</si>
  <si>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</si>
  <si>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</si>
  <si>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</si>
  <si>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</si>
  <si>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</si>
  <si>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</si>
  <si>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</si>
  <si>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</si>
  <si>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</si>
  <si>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</si>
  <si>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</si>
  <si>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</si>
  <si>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</si>
  <si>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</si>
  <si>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</si>
  <si>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</si>
  <si>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</si>
  <si>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</si>
  <si>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</si>
  <si>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</si>
  <si>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</si>
  <si>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</si>
  <si>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</si>
  <si>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</si>
  <si>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</si>
  <si>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</si>
  <si>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</si>
  <si>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</si>
  <si>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</si>
  <si>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</si>
  <si>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</si>
  <si>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</si>
  <si>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</si>
  <si>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</si>
  <si>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</si>
  <si>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</si>
  <si>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</si>
  <si>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</si>
  <si>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</si>
  <si>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</si>
  <si>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</si>
  <si>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</si>
  <si>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</si>
  <si>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</si>
  <si>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</si>
  <si>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</si>
  <si>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</si>
  <si>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</si>
  <si>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</si>
  <si>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</si>
  <si>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</si>
  <si>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</si>
  <si>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</si>
  <si>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</si>
  <si>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</si>
  <si>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</si>
  <si>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</si>
  <si>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</si>
  <si>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</si>
  <si>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</si>
  <si>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</si>
  <si>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</si>
  <si>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</si>
  <si>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</si>
  <si>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</si>
  <si>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</si>
  <si>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</si>
  <si>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</si>
  <si>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</si>
  <si>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</si>
  <si>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</si>
  <si>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</si>
  <si>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</si>
  <si>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</si>
  <si>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</si>
  <si>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</si>
  <si>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</si>
  <si>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</si>
  <si>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</si>
  <si>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</si>
  <si>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</si>
  <si>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</si>
  <si>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</si>
  <si>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</si>
  <si>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</si>
  <si>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</si>
  <si>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</si>
  <si>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</si>
  <si>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</si>
  <si>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</si>
  <si>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</si>
  <si>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</si>
  <si>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</si>
  <si>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</si>
  <si>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</si>
  <si>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</si>
  <si>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</si>
  <si>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</si>
  <si>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</si>
  <si>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</si>
  <si>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</si>
  <si>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</si>
  <si>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</si>
  <si>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</si>
  <si>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</si>
  <si>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</si>
  <si>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</si>
  <si>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</si>
  <si>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</si>
  <si>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</si>
  <si>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</si>
  <si>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</si>
  <si>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</si>
  <si>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</si>
  <si>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</si>
  <si>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</si>
  <si>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</si>
  <si>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</si>
  <si>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</si>
  <si>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</si>
  <si>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</si>
  <si>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</si>
  <si>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</si>
  <si>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</si>
  <si>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</si>
  <si>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</si>
  <si>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</si>
  <si>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</si>
  <si>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</si>
  <si>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</si>
  <si>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</si>
  <si>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</si>
  <si>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</si>
  <si>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</si>
  <si>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</si>
  <si>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</si>
  <si>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</si>
  <si>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</si>
  <si>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</si>
  <si>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</si>
  <si>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</si>
  <si>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</si>
  <si>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</si>
  <si>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</si>
  <si>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</si>
  <si>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</si>
  <si>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</si>
  <si>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</si>
  <si>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</si>
  <si>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</si>
  <si>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</si>
  <si>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</si>
  <si>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</si>
  <si>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</si>
  <si>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</si>
  <si>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</si>
  <si>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</si>
  <si>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</si>
  <si>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</si>
  <si>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</si>
  <si>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</si>
  <si>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</si>
  <si>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</si>
  <si>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</si>
  <si>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</si>
  <si>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</si>
  <si>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</si>
  <si>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</si>
  <si>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</si>
  <si>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</si>
  <si>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</si>
  <si>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</si>
  <si>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</si>
  <si>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</si>
  <si>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</si>
  <si>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</si>
  <si>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</si>
  <si>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</si>
  <si>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</si>
  <si>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</si>
  <si>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</si>
  <si>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</si>
  <si>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</si>
  <si>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</si>
  <si>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</si>
  <si>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</si>
  <si>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</si>
  <si>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</si>
  <si>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</si>
  <si>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</si>
  <si>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</si>
  <si>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</si>
  <si>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</si>
  <si>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</si>
  <si>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</si>
  <si>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</si>
  <si>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</si>
  <si>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</si>
  <si>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</si>
  <si>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</si>
  <si>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</si>
  <si>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</si>
  <si>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</si>
  <si>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</si>
  <si>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</si>
  <si>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</si>
  <si>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</si>
  <si>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</si>
  <si>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</si>
  <si>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</si>
  <si>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</si>
  <si>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</si>
  <si>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</si>
  <si>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</si>
  <si>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</si>
  <si>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</si>
  <si>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</si>
  <si>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</si>
  <si>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</si>
  <si>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</si>
  <si>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</si>
  <si>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</si>
  <si>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</si>
  <si>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</si>
  <si>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</si>
  <si>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</si>
  <si>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</si>
  <si>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</si>
  <si>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</si>
  <si>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</si>
  <si>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</si>
  <si>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</si>
  <si>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</si>
  <si>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</si>
  <si>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</si>
  <si>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</si>
  <si>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</si>
  <si>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</si>
  <si>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</si>
  <si>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</si>
  <si>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</si>
  <si>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</si>
  <si>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</si>
  <si>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</si>
  <si>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</si>
  <si>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</si>
  <si>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</si>
  <si>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</si>
  <si>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</si>
  <si>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</si>
  <si>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</si>
  <si>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</si>
  <si>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</si>
  <si>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</si>
  <si>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</si>
  <si>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</si>
  <si>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</si>
  <si>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</si>
  <si>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</si>
  <si>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</si>
  <si>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</si>
  <si>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</si>
  <si>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</si>
  <si>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</si>
  <si>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</si>
  <si>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</si>
  <si>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</si>
  <si>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</si>
  <si>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</si>
  <si>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</si>
  <si>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</si>
  <si>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</si>
  <si>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</si>
  <si>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</si>
  <si>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</si>
  <si>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</si>
  <si>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</si>
  <si>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</si>
  <si>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</si>
  <si>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</si>
  <si>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</si>
  <si>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</si>
  <si>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</si>
  <si>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</si>
  <si>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</si>
  <si>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</si>
  <si>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</si>
  <si>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</si>
  <si>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</si>
  <si>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</si>
  <si>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</si>
  <si>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</si>
  <si>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</si>
  <si>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</si>
  <si>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</si>
  <si>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</si>
  <si>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</si>
  <si>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</si>
  <si>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</si>
  <si>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</si>
  <si>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</si>
  <si>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</si>
  <si>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</si>
  <si>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</si>
  <si>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</si>
  <si>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</si>
  <si>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</si>
  <si>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</si>
  <si>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</si>
  <si>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</si>
  <si>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</si>
  <si>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</si>
  <si>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</si>
  <si>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</si>
  <si>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</si>
  <si>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</si>
  <si>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</si>
  <si>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</si>
  <si>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</si>
  <si>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</si>
  <si>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</si>
  <si>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</si>
  <si>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</si>
  <si>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</si>
  <si>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</si>
  <si>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</si>
  <si>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</si>
  <si>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</si>
  <si>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</si>
  <si>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</si>
  <si>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</si>
  <si>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</si>
  <si>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</si>
  <si>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</si>
  <si>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</si>
  <si>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</si>
  <si>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</si>
  <si>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</si>
  <si>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</si>
  <si>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</si>
  <si>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</si>
  <si>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</si>
  <si>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</si>
  <si>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</si>
  <si>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</si>
  <si>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</si>
  <si>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</si>
  <si>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</si>
  <si>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</si>
  <si>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</si>
  <si>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</si>
  <si>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</si>
  <si>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</si>
  <si>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</si>
  <si>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</si>
  <si>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</si>
  <si>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</si>
  <si>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</si>
  <si>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</si>
  <si>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</si>
  <si>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</si>
  <si>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</si>
  <si>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</si>
  <si>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</si>
  <si>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</si>
  <si>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</si>
  <si>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</si>
  <si>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</si>
  <si>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</si>
  <si>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</si>
  <si>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</si>
  <si>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</si>
  <si>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</si>
  <si>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</si>
  <si>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</si>
  <si>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</si>
  <si>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</si>
  <si>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</si>
  <si>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</si>
  <si>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</si>
  <si>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</si>
  <si>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</si>
  <si>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</si>
  <si>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</si>
  <si>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</si>
  <si>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</si>
  <si>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</si>
  <si>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</si>
  <si>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</si>
  <si>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</si>
  <si>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</si>
  <si>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</si>
  <si>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</si>
  <si>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</si>
  <si>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</si>
  <si>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</si>
  <si>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</si>
  <si>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</si>
  <si>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</si>
  <si>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</si>
  <si>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</si>
  <si>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</si>
  <si>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</si>
  <si>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</si>
  <si>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</si>
  <si>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</si>
  <si>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</si>
  <si>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</si>
  <si>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</si>
  <si>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</si>
  <si>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</si>
  <si>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</si>
  <si>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</si>
  <si>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</si>
  <si>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</si>
  <si>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</si>
  <si>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</si>
  <si>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</si>
  <si>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</si>
  <si>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</si>
  <si>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</si>
  <si>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</si>
  <si>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</si>
  <si>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</si>
  <si>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</si>
  <si>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</si>
  <si>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</si>
  <si>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</si>
  <si>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</si>
  <si>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</si>
  <si>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</si>
  <si>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</si>
  <si>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</si>
  <si>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</si>
  <si>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</si>
  <si>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</si>
  <si>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</si>
  <si>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</si>
  <si>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</si>
  <si>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</si>
  <si>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</si>
  <si>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</si>
  <si>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</si>
  <si>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</si>
  <si>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</si>
  <si>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</si>
  <si>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</si>
  <si>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</si>
  <si>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</si>
  <si>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</si>
  <si>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</si>
  <si>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</si>
  <si>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</si>
  <si>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</si>
  <si>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</si>
  <si>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</si>
  <si>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</si>
  <si>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</si>
  <si>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</si>
  <si>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</si>
  <si>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</si>
  <si>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</si>
  <si>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</si>
  <si>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</si>
  <si>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</si>
  <si>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</si>
  <si>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</si>
  <si>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</si>
  <si>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</si>
  <si>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</si>
  <si>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</si>
  <si>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</si>
  <si>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</si>
  <si>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</si>
  <si>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</si>
  <si>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</si>
  <si>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</si>
  <si>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</si>
  <si>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</si>
  <si>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</si>
  <si>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</si>
  <si>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</si>
  <si>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</si>
  <si>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</si>
  <si>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</si>
  <si>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</si>
  <si>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</si>
  <si>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</si>
  <si>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</si>
  <si>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</si>
  <si>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</si>
  <si>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</si>
  <si>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</si>
  <si>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</si>
  <si>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</si>
  <si>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</si>
  <si>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</si>
  <si>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</si>
  <si>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</si>
  <si>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</si>
  <si>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</si>
  <si>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</si>
  <si>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</si>
  <si>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</si>
  <si>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</si>
  <si>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</si>
  <si>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</si>
  <si>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</si>
  <si>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</si>
  <si>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</si>
  <si>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</si>
  <si>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</si>
  <si>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</si>
  <si>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</si>
  <si>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</si>
  <si>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</si>
  <si>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</si>
  <si>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</si>
  <si>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</si>
  <si>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</si>
  <si>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</si>
  <si>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</si>
  <si>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</si>
  <si>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</si>
  <si>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</si>
  <si>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</si>
  <si>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</si>
  <si>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</si>
  <si>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</si>
  <si>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</si>
  <si>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</si>
  <si>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</si>
  <si>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</si>
  <si>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</si>
  <si>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</si>
  <si>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</si>
  <si>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</si>
  <si>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</si>
  <si>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</si>
  <si>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</si>
  <si>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</si>
  <si>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</si>
  <si>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</si>
  <si>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</si>
  <si>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</si>
  <si>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</si>
  <si>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</si>
  <si>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</si>
  <si>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</si>
  <si>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</si>
  <si>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</si>
  <si>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</si>
  <si>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</si>
  <si>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</si>
  <si>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</si>
  <si>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</si>
  <si>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</si>
  <si>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</si>
  <si>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</si>
  <si>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</si>
  <si>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</si>
  <si>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</si>
  <si>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</si>
  <si>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</si>
  <si>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</si>
  <si>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</si>
  <si>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</si>
  <si>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</si>
  <si>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</si>
  <si>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</si>
  <si>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</si>
  <si>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</si>
  <si>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</si>
  <si>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</si>
  <si>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</si>
  <si>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</si>
  <si>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</si>
  <si>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</si>
  <si>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</si>
  <si>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</si>
  <si>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</si>
  <si>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</si>
  <si>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</si>
  <si>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</si>
  <si>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</si>
  <si>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</si>
  <si>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</si>
  <si>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</si>
  <si>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</si>
  <si>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</si>
  <si>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</si>
  <si>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</si>
  <si>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</si>
  <si>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</si>
  <si>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</si>
  <si>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</si>
  <si>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</si>
  <si>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</si>
  <si>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</si>
  <si>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</si>
  <si>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</si>
  <si>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</si>
  <si>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</si>
  <si>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</si>
  <si>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</si>
  <si>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</si>
  <si>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</si>
  <si>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</si>
  <si>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</si>
  <si>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</si>
  <si>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</si>
  <si>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</si>
  <si>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</si>
  <si>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</si>
  <si>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</si>
  <si>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</si>
  <si>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</si>
  <si>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</si>
  <si>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</si>
  <si>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</si>
  <si>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</si>
  <si>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</si>
  <si>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</si>
  <si>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</si>
  <si>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</si>
  <si>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</si>
  <si>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</si>
  <si>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</si>
  <si>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</si>
  <si>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</si>
  <si>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</si>
  <si>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</si>
  <si>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</si>
  <si>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</si>
  <si>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</si>
  <si>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</si>
  <si>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</si>
  <si>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</si>
  <si>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</si>
  <si>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</si>
  <si>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</si>
  <si>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</si>
  <si>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</si>
  <si>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</si>
  <si>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</si>
  <si>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</si>
  <si>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</si>
  <si>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</si>
  <si>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</si>
  <si>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</si>
  <si>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</si>
  <si>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</si>
  <si>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</si>
  <si>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</si>
  <si>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</si>
  <si>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</si>
  <si>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</si>
  <si>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</si>
  <si>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</si>
  <si>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</si>
  <si>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</si>
  <si>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</si>
  <si>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</si>
  <si>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</si>
  <si>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</si>
  <si>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</si>
  <si>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</si>
  <si>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</si>
  <si>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</si>
  <si>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</si>
  <si>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</si>
  <si>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</si>
  <si>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</si>
  <si>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</si>
  <si>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</si>
  <si>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</si>
  <si>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</si>
  <si>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</si>
  <si>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</si>
  <si>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</si>
  <si>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</si>
  <si>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</si>
  <si>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</si>
  <si>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</si>
  <si>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</si>
  <si>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</si>
  <si>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</si>
  <si>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</si>
  <si>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</si>
  <si>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</si>
  <si>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</si>
  <si>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</si>
  <si>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</si>
  <si>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</si>
  <si>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</si>
  <si>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</si>
  <si>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</si>
  <si>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</si>
  <si>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</si>
  <si>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</si>
  <si>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</si>
  <si>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</si>
  <si>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</si>
  <si>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</si>
  <si>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</si>
  <si>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</si>
  <si>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</si>
  <si>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</si>
  <si>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</si>
  <si>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</si>
  <si>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</si>
  <si>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</si>
  <si>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</si>
  <si>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</si>
  <si>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</si>
  <si>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</si>
  <si>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</si>
  <si>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</si>
  <si>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</si>
  <si>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</si>
  <si>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</si>
  <si>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</si>
  <si>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</si>
  <si>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</si>
  <si>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</si>
  <si>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</si>
  <si>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</si>
  <si>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</si>
  <si>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</si>
  <si>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</si>
  <si>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</si>
  <si>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</si>
  <si>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</si>
  <si>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</si>
  <si>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</si>
  <si>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</si>
  <si>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</si>
  <si>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</si>
  <si>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</si>
  <si>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</si>
  <si>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</si>
  <si>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</si>
  <si>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</si>
  <si>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</si>
  <si>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</si>
  <si>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</si>
  <si>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</si>
  <si>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</si>
  <si>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</si>
  <si>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</si>
  <si>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</si>
  <si>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</si>
  <si>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</si>
  <si>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</si>
  <si>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</si>
  <si>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</si>
  <si>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</si>
  <si>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</si>
  <si>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</si>
  <si>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</si>
  <si>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</si>
  <si>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</si>
  <si>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</si>
  <si>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</si>
  <si>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</si>
  <si>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</si>
  <si>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</si>
  <si>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</si>
  <si>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</si>
  <si>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</si>
  <si>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</si>
  <si>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</si>
  <si>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</si>
  <si>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</si>
  <si>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</si>
  <si>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</si>
  <si>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</si>
  <si>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</si>
  <si>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</si>
  <si>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</si>
  <si>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</si>
  <si>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</si>
  <si>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</si>
  <si>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</si>
  <si>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</si>
  <si>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</si>
  <si>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</si>
  <si>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</si>
  <si>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</si>
  <si>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</si>
  <si>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</si>
  <si>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</si>
  <si>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</si>
  <si>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</si>
  <si>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</si>
  <si>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</si>
  <si>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</si>
  <si>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</si>
  <si>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</si>
  <si>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</si>
  <si>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</si>
  <si>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</si>
  <si>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</si>
  <si>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</si>
  <si>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</si>
  <si>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</si>
  <si>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</si>
  <si>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</si>
  <si>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</si>
  <si>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</si>
  <si>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</si>
  <si>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</si>
  <si>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</si>
  <si>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</si>
  <si>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</si>
  <si>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</si>
  <si>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</si>
  <si>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</si>
  <si>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</si>
  <si>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</si>
  <si>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</si>
  <si>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</si>
  <si>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</si>
  <si>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</si>
  <si>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</si>
  <si>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</si>
  <si>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</si>
  <si>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</si>
  <si>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</si>
  <si>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</si>
  <si>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</si>
  <si>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</si>
  <si>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</si>
  <si>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</si>
  <si>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</si>
  <si>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</si>
  <si>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</si>
  <si>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</si>
  <si>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</si>
  <si>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</si>
  <si>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</si>
  <si>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</si>
  <si>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</si>
  <si>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</si>
  <si>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</si>
  <si>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</si>
  <si>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</si>
  <si>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</si>
  <si>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</si>
  <si>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</si>
  <si>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</si>
  <si>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</si>
  <si>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</si>
  <si>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</si>
  <si>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</si>
  <si>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</si>
  <si>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</si>
  <si>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</si>
  <si>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</si>
  <si>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</si>
  <si>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</si>
  <si>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</si>
  <si>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</si>
  <si>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</si>
  <si>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</si>
  <si>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</si>
  <si>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</si>
  <si>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</si>
  <si>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</si>
  <si>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</si>
  <si>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</si>
  <si>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</si>
  <si>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</si>
  <si>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</si>
  <si>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</si>
  <si>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</si>
  <si>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</si>
  <si>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</si>
  <si>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</si>
  <si>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</si>
  <si>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</si>
  <si>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</si>
  <si>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</si>
  <si>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</si>
  <si>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</si>
  <si>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</si>
  <si>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</si>
  <si>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</si>
  <si>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</si>
  <si>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</si>
  <si>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</si>
  <si>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</si>
  <si>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</si>
  <si>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</si>
  <si>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</si>
  <si>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</si>
  <si>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</si>
  <si>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</si>
  <si>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</si>
  <si>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</si>
  <si>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</si>
  <si>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</si>
  <si>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</si>
  <si>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</si>
  <si>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</si>
  <si>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</si>
  <si>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</si>
  <si>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</si>
  <si>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</si>
  <si>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</si>
  <si>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</si>
  <si>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</si>
  <si>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</si>
  <si>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</si>
  <si>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</si>
  <si>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</si>
  <si>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</si>
  <si>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</si>
  <si>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</si>
  <si>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</si>
  <si>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</si>
  <si>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</si>
  <si>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</si>
  <si>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</si>
  <si>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</si>
  <si>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</si>
  <si>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</si>
  <si>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</si>
  <si>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</si>
  <si>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</si>
  <si>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</si>
  <si>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</si>
  <si>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</si>
  <si>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</si>
  <si>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</si>
  <si>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</si>
  <si>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</si>
  <si>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</si>
  <si>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</si>
  <si>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</si>
  <si>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</si>
  <si>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</si>
  <si>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</si>
  <si>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</si>
  <si>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</si>
  <si>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</si>
  <si>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</si>
  <si>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</si>
  <si>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</si>
  <si>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</si>
  <si>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</si>
  <si>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</si>
  <si>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</si>
  <si>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</si>
  <si>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</si>
  <si>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</si>
  <si>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</si>
  <si>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</si>
  <si>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</si>
  <si>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</si>
  <si>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</si>
  <si>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</si>
  <si>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</si>
  <si>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</si>
  <si>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</si>
  <si>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</si>
  <si>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</si>
  <si>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</si>
  <si>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</si>
  <si>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</si>
  <si>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</si>
  <si>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</si>
  <si>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</si>
  <si>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</si>
  <si>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</si>
  <si>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</si>
  <si>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</si>
  <si>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</si>
  <si>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</si>
  <si>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</si>
  <si>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</si>
  <si>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</si>
  <si>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</si>
  <si>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</si>
  <si>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</si>
  <si>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</si>
  <si>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</si>
  <si>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</si>
  <si>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</si>
  <si>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</si>
  <si>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</si>
  <si>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</si>
  <si>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</si>
  <si>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</si>
  <si>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</si>
  <si>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</si>
  <si>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</si>
  <si>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</si>
  <si>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</si>
  <si>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</si>
  <si>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</si>
  <si>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</si>
  <si>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</si>
  <si>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</si>
  <si>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</si>
  <si>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</si>
  <si>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</si>
  <si>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</si>
  <si>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</si>
  <si>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</si>
  <si>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</si>
  <si>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</si>
  <si>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</si>
  <si>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</si>
  <si>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</si>
  <si>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</si>
  <si>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</si>
  <si>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</si>
  <si>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</si>
  <si>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</si>
  <si>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</si>
  <si>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</si>
  <si>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</si>
  <si>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</si>
  <si>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</si>
  <si>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</si>
  <si>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</si>
  <si>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</si>
  <si>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</si>
  <si>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</si>
  <si>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</si>
  <si>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</si>
  <si>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</si>
  <si>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</si>
  <si>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</si>
  <si>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</si>
  <si>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</si>
  <si>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</si>
  <si>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</si>
  <si>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</si>
  <si>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</si>
  <si>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</si>
  <si>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</si>
  <si>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</si>
  <si>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</si>
  <si>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</si>
  <si>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</si>
  <si>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</si>
  <si>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</si>
  <si>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</si>
  <si>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</si>
  <si>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</si>
  <si>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</si>
  <si>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</si>
  <si>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</si>
  <si>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</si>
  <si>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</si>
  <si>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</si>
  <si>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</si>
  <si>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</si>
  <si>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</si>
  <si>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</si>
  <si>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</si>
  <si>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</si>
  <si>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</si>
  <si>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</si>
  <si>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</si>
  <si>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</si>
  <si>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</si>
  <si>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</si>
  <si>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</si>
  <si>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</si>
  <si>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</si>
  <si>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</si>
  <si>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</si>
  <si>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</si>
  <si>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</si>
  <si>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</si>
  <si>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</si>
  <si>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</si>
  <si>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</si>
  <si>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</si>
  <si>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</si>
  <si>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</si>
  <si>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</si>
  <si>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</si>
  <si>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</si>
  <si>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</si>
  <si>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</si>
  <si>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</si>
  <si>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</si>
  <si>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</si>
  <si>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</si>
  <si>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</si>
  <si>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</si>
  <si>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</si>
  <si>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</si>
  <si>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</si>
  <si>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</si>
  <si>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</si>
  <si>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</si>
  <si>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</si>
  <si>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</si>
  <si>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</si>
  <si>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</si>
  <si>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</si>
  <si>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</si>
  <si>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</si>
  <si>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</si>
  <si>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</si>
  <si>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</si>
  <si>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</si>
  <si>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</si>
  <si>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</si>
  <si>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</si>
  <si>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</si>
  <si>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</si>
  <si>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</si>
  <si>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</si>
  <si>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</si>
  <si>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</si>
  <si>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</si>
  <si>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</si>
  <si>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</si>
  <si>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</si>
  <si>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</si>
  <si>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</si>
  <si>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</si>
  <si>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</si>
  <si>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</si>
  <si>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</si>
  <si>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</si>
  <si>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</si>
  <si>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</si>
  <si>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</si>
  <si>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</si>
  <si>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</si>
  <si>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</si>
  <si>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</si>
  <si>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</si>
  <si>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</si>
  <si>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</si>
  <si>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</si>
  <si>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</si>
  <si>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</si>
  <si>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</si>
  <si>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</si>
  <si>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</si>
  <si>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</si>
  <si>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</si>
  <si>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</si>
  <si>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</si>
  <si>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</si>
  <si>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</si>
  <si>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</si>
  <si>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</si>
  <si>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</si>
  <si>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</si>
  <si>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</si>
  <si>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</si>
  <si>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</si>
  <si>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</si>
  <si>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</si>
  <si>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</si>
  <si>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</si>
  <si>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</si>
  <si>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</si>
  <si>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</si>
  <si>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</si>
  <si>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</si>
  <si>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</si>
  <si>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</si>
  <si>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</si>
  <si>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</si>
  <si>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</si>
  <si>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</si>
  <si>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</si>
  <si>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</si>
  <si>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</si>
  <si>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</si>
  <si>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</si>
  <si>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</si>
  <si>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</si>
  <si>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</si>
  <si>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</si>
  <si>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</si>
  <si>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</si>
  <si>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</si>
  <si>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</si>
  <si>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</si>
  <si>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</si>
  <si>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</si>
  <si>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</si>
  <si>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</si>
  <si>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</si>
  <si>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</si>
  <si>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</si>
  <si>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</si>
  <si>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</si>
  <si>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</si>
  <si>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</si>
  <si>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</si>
  <si>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</si>
  <si>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</si>
  <si>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</si>
  <si>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</si>
  <si>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</si>
  <si>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</si>
  <si>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</si>
  <si>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</si>
  <si>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</si>
  <si>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</si>
  <si>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</si>
  <si>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</si>
  <si>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</si>
  <si>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</si>
  <si>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</si>
  <si>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</si>
  <si>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</si>
  <si>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</si>
  <si>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</si>
  <si>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</si>
  <si>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</si>
  <si>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</si>
  <si>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</si>
  <si>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</si>
  <si>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</si>
  <si>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</si>
  <si>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</si>
  <si>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</si>
  <si>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</si>
  <si>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</si>
  <si>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</si>
  <si>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</si>
  <si>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</si>
  <si>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</si>
  <si>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</si>
  <si>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</si>
  <si>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</si>
  <si>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</si>
  <si>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</si>
  <si>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</si>
  <si>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</si>
  <si>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</si>
  <si>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</si>
  <si>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</si>
  <si>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</si>
  <si>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</si>
  <si>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</si>
  <si>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</si>
  <si>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</si>
  <si>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</si>
  <si>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</si>
  <si>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</si>
  <si>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</si>
  <si>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</si>
  <si>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</si>
  <si>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</si>
  <si>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</si>
  <si>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</si>
  <si>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</si>
  <si>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</si>
  <si>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</si>
  <si>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</si>
  <si>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</si>
  <si>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</si>
  <si>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</si>
  <si>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</si>
  <si>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</si>
  <si>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</si>
  <si>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</si>
  <si>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</si>
  <si>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</si>
  <si>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</si>
  <si>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</si>
  <si>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</si>
  <si>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</si>
  <si>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</si>
  <si>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</si>
  <si>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</si>
  <si>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</si>
  <si>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</si>
  <si>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</si>
  <si>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</si>
  <si>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</si>
  <si>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</si>
  <si>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</si>
  <si>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</si>
  <si>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</si>
  <si>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</si>
  <si>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</si>
  <si>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</si>
  <si>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</si>
  <si>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</si>
  <si>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</si>
  <si>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</si>
  <si>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</si>
  <si>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</si>
  <si>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</si>
  <si>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</si>
  <si>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</si>
  <si>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</si>
  <si>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</si>
  <si>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</si>
  <si>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</si>
  <si>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</si>
  <si>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</si>
  <si>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</si>
  <si>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</si>
  <si>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</si>
  <si>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</si>
  <si>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</si>
  <si>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</si>
  <si>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</si>
  <si>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</si>
  <si>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</si>
  <si>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</si>
  <si>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</si>
  <si>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</si>
  <si>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</si>
  <si>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</si>
  <si>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</si>
  <si>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</si>
  <si>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</si>
  <si>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</si>
  <si>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</si>
  <si>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</si>
  <si>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</si>
  <si>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</si>
  <si>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</si>
  <si>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</si>
  <si>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</si>
  <si>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</si>
  <si>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</si>
  <si>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</si>
  <si>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</si>
  <si>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</si>
  <si>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</si>
  <si>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</si>
  <si>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</si>
  <si>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</si>
  <si>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</si>
  <si>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</si>
  <si>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</si>
  <si>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</si>
  <si>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</si>
  <si>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</si>
  <si>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</si>
  <si>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</si>
  <si>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</si>
  <si>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</si>
  <si>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</si>
  <si>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</si>
  <si>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</si>
  <si>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</si>
  <si>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</si>
  <si>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</si>
  <si>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</si>
  <si>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</si>
  <si>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</si>
  <si>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</si>
  <si>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</si>
  <si>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</si>
  <si>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</si>
  <si>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</si>
  <si>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</si>
  <si>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</si>
  <si>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</si>
  <si>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</si>
  <si>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</si>
  <si>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</si>
  <si>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</si>
  <si>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</si>
  <si>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</si>
  <si>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</si>
  <si>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</si>
  <si>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</si>
  <si>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</si>
  <si>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</si>
  <si>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</si>
  <si>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</si>
  <si>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</si>
  <si>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</si>
  <si>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</si>
  <si>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</si>
  <si>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</si>
  <si>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</si>
  <si>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</si>
  <si>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</si>
  <si>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</si>
  <si>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</si>
  <si>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</si>
  <si>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</si>
  <si>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</si>
  <si>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</si>
  <si>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</si>
  <si>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</si>
  <si>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</si>
  <si>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</si>
  <si>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</si>
  <si>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</si>
  <si>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</si>
  <si>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</si>
  <si>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</si>
  <si>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</si>
  <si>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</si>
  <si>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</si>
  <si>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</si>
  <si>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</si>
  <si>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</si>
  <si>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</si>
  <si>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</si>
  <si>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</si>
  <si>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</si>
  <si>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</si>
  <si>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</si>
  <si>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</si>
  <si>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</si>
  <si>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</si>
  <si>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</si>
  <si>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</si>
  <si>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</si>
  <si>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</si>
  <si>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</si>
  <si>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</si>
  <si>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</si>
  <si>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</si>
  <si>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</si>
  <si>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</si>
  <si>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</si>
  <si>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</si>
  <si>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</si>
  <si>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</si>
  <si>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</si>
  <si>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</si>
  <si>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</si>
  <si>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</si>
  <si>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</si>
  <si>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</si>
  <si>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</si>
  <si>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</si>
  <si>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</si>
  <si>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</si>
  <si>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</si>
  <si>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</si>
  <si>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</si>
  <si>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</si>
  <si>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</si>
  <si>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</si>
  <si>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</si>
  <si>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</si>
  <si>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</si>
  <si>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</si>
  <si>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</si>
  <si>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</si>
  <si>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</si>
  <si>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</si>
  <si>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</si>
  <si>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</si>
  <si>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</si>
  <si>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</si>
  <si>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</si>
  <si>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</si>
  <si>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</si>
  <si>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</si>
  <si>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</si>
  <si>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</si>
  <si>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</si>
  <si>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</si>
  <si>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</si>
  <si>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</si>
  <si>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</si>
  <si>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</si>
  <si>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</si>
  <si>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</si>
  <si>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</si>
  <si>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</si>
  <si>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</si>
  <si>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</si>
  <si>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</si>
  <si>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</si>
  <si>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</si>
  <si>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</si>
  <si>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</si>
  <si>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</si>
  <si>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</si>
  <si>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</si>
  <si>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</si>
  <si>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</si>
  <si>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</si>
  <si>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</si>
  <si>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</si>
  <si>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</si>
  <si>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</si>
  <si>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</si>
  <si>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</si>
  <si>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</si>
  <si>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</si>
  <si>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</si>
  <si>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</si>
  <si>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</si>
  <si>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</si>
  <si>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</si>
  <si>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</si>
  <si>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</si>
  <si>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</si>
  <si>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</si>
  <si>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</si>
  <si>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</si>
  <si>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</si>
  <si>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</si>
  <si>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</si>
  <si>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</si>
  <si>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</si>
  <si>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</si>
  <si>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</si>
  <si>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</si>
  <si>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</si>
  <si>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</si>
  <si>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</si>
  <si>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</si>
  <si>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</si>
  <si>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</si>
  <si>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</si>
  <si>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</si>
  <si>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</si>
  <si>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</si>
  <si>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</si>
  <si>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</si>
  <si>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</si>
  <si>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</si>
  <si>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</si>
  <si>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</si>
  <si>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</si>
  <si>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</si>
  <si>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</si>
  <si>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</si>
  <si>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</si>
  <si>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</si>
  <si>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</si>
  <si>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</si>
  <si>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</si>
  <si>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</si>
  <si>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</si>
  <si>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</si>
  <si>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</si>
  <si>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</si>
  <si>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</si>
  <si>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</si>
  <si>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</si>
  <si>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</si>
  <si>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</si>
  <si>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</si>
  <si>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</si>
  <si>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</si>
  <si>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</si>
  <si>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</si>
  <si>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</si>
  <si>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</si>
  <si>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</si>
  <si>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</si>
  <si>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</si>
  <si>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</si>
  <si>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</si>
  <si>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</si>
  <si>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</si>
  <si>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</si>
  <si>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</si>
  <si>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</si>
  <si>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</si>
  <si>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</si>
  <si>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</si>
  <si>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</si>
  <si>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</si>
  <si>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</si>
  <si>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</si>
  <si>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</si>
  <si>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</si>
  <si>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</si>
  <si>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</si>
  <si>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</si>
  <si>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</si>
  <si>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</si>
  <si>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</si>
  <si>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</si>
  <si>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</si>
  <si>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</si>
  <si>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</si>
  <si>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</si>
  <si>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</si>
  <si>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</si>
  <si>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</si>
  <si>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</si>
  <si>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</si>
  <si>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</si>
  <si>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</si>
  <si>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</si>
  <si>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</si>
  <si>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</si>
  <si>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</si>
  <si>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</si>
  <si>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</si>
  <si>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</si>
  <si>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</si>
  <si>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</si>
  <si>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</si>
  <si>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</si>
  <si>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</si>
  <si>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</si>
  <si>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</si>
  <si>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</si>
  <si>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</si>
  <si>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</si>
  <si>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</si>
  <si>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</si>
  <si>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</si>
  <si>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</si>
  <si>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</si>
  <si>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</si>
  <si>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</si>
  <si>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</si>
  <si>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</si>
  <si>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</si>
  <si>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</si>
  <si>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</si>
  <si>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</si>
  <si>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</si>
  <si>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</si>
  <si>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</si>
  <si>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</si>
  <si>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</si>
  <si>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</si>
  <si>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</si>
  <si>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</si>
  <si>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</si>
  <si>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</si>
  <si>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</si>
  <si>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</si>
  <si>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</si>
  <si>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</si>
  <si>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</si>
  <si>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</si>
  <si>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</si>
  <si>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</si>
  <si>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</si>
  <si>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</si>
  <si>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</si>
  <si>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</si>
  <si>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</si>
  <si>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</si>
  <si>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</si>
  <si>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</si>
  <si>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</si>
  <si>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</si>
  <si>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</si>
  <si>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</si>
  <si>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</si>
  <si>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</si>
  <si>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</si>
  <si>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</si>
  <si>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</si>
  <si>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</si>
  <si>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</si>
  <si>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</si>
  <si>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</si>
  <si>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</si>
  <si>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</si>
  <si>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</si>
  <si>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</si>
  <si>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</si>
  <si>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</si>
  <si>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</si>
  <si>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</si>
  <si>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</si>
  <si>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</si>
  <si>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</si>
  <si>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</si>
  <si>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</si>
  <si>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</si>
  <si>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</si>
  <si>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</si>
  <si>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</si>
  <si>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</si>
  <si>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</si>
  <si>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</si>
  <si>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</si>
  <si>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</si>
  <si>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</si>
  <si>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</si>
  <si>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</si>
  <si>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</si>
  <si>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</si>
  <si>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</si>
  <si>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</si>
  <si>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</si>
  <si>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</si>
  <si>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</si>
  <si>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</si>
  <si>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</si>
  <si>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</si>
  <si>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</si>
  <si>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</si>
  <si>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</si>
  <si>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</si>
  <si>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</si>
  <si>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</si>
  <si>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</si>
  <si>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</si>
  <si>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</si>
  <si>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</si>
  <si>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</si>
  <si>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</si>
  <si>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</si>
  <si>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</si>
  <si>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</si>
  <si>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</si>
  <si>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</si>
  <si>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</si>
  <si>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</si>
  <si>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</si>
  <si>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</si>
  <si>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</si>
  <si>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</si>
  <si>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</si>
  <si>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</si>
  <si>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</si>
  <si>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</si>
  <si>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</si>
  <si>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</si>
  <si>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</si>
  <si>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</si>
  <si>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</si>
  <si>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</si>
  <si>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</si>
  <si>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</si>
  <si>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</si>
  <si>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</si>
  <si>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</si>
  <si>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</si>
  <si>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</si>
  <si>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</si>
  <si>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</si>
  <si>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</si>
  <si>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</si>
  <si>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</si>
  <si>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</si>
  <si>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</si>
  <si>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</si>
  <si>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</si>
  <si>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</si>
  <si>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</si>
  <si>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</si>
  <si>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</si>
  <si>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</si>
  <si>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</si>
  <si>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</si>
  <si>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</si>
  <si>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</si>
  <si>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</si>
  <si>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</si>
  <si>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</si>
  <si>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</si>
  <si>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</si>
  <si>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</si>
  <si>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</si>
  <si>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</si>
  <si>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</si>
  <si>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</si>
  <si>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</si>
  <si>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</si>
  <si>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</si>
  <si>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</si>
  <si>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</si>
  <si>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</si>
  <si>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</si>
  <si>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</si>
  <si>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</si>
  <si>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</si>
  <si>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</si>
  <si>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</si>
  <si>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</si>
  <si>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</si>
  <si>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</si>
  <si>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</si>
  <si>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</si>
  <si>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</si>
  <si>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</si>
  <si>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</si>
  <si>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</si>
  <si>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</si>
  <si>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</si>
  <si>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</si>
  <si>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</si>
  <si>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</si>
  <si>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</si>
  <si>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</si>
  <si>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</si>
  <si>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</si>
  <si>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</si>
  <si>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</si>
  <si>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</si>
  <si>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</si>
  <si>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</si>
  <si>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</si>
  <si>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</si>
  <si>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</si>
  <si>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</si>
  <si>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</si>
  <si>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</si>
  <si>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</si>
  <si>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</si>
  <si>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</si>
  <si>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</si>
  <si>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</si>
  <si>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</si>
  <si>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</si>
  <si>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</si>
  <si>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</si>
  <si>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</si>
  <si>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</si>
  <si>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</si>
  <si>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</si>
  <si>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</si>
  <si>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</si>
  <si>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</si>
  <si>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</si>
  <si>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</si>
  <si>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</si>
  <si>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</si>
  <si>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</si>
  <si>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</si>
  <si>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</si>
  <si>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</si>
  <si>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</si>
  <si>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</si>
  <si>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</si>
  <si>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</si>
  <si>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</si>
  <si>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</si>
  <si>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</si>
  <si>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</si>
  <si>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</si>
  <si>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</si>
  <si>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</si>
  <si>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</si>
  <si>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</si>
  <si>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</si>
  <si>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</si>
  <si>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</si>
  <si>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</si>
  <si>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</si>
  <si>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</si>
  <si>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</si>
  <si>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</si>
  <si>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</si>
  <si>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</si>
  <si>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</si>
  <si>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</si>
  <si>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</si>
  <si>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</si>
  <si>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</si>
  <si>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</si>
  <si>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</si>
  <si>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</si>
  <si>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</si>
  <si>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</si>
  <si>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</si>
  <si>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</si>
  <si>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</si>
  <si>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</si>
  <si>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</si>
  <si>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</si>
  <si>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</si>
  <si>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</si>
  <si>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</si>
  <si>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</si>
  <si>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</si>
  <si>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</si>
  <si>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</si>
  <si>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</si>
  <si>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</si>
  <si>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</si>
  <si>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</si>
  <si>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</si>
  <si>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</si>
  <si>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</si>
  <si>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</si>
  <si>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</si>
  <si>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</si>
  <si>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</si>
  <si>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</si>
  <si>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</si>
  <si>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</si>
  <si>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</si>
  <si>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</si>
  <si>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</si>
  <si>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</si>
  <si>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</si>
  <si>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</si>
  <si>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</si>
  <si>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</si>
  <si>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</si>
  <si>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</si>
  <si>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</si>
  <si>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</si>
  <si>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</si>
  <si>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</si>
  <si>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</si>
  <si>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</si>
  <si>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</si>
  <si>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</si>
  <si>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</si>
  <si>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</si>
  <si>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</si>
  <si>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</si>
  <si>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</si>
  <si>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</si>
  <si>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</si>
  <si>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</si>
  <si>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</si>
  <si>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</si>
  <si>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</si>
  <si>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</si>
  <si>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</si>
  <si>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</si>
  <si>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</si>
  <si>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</si>
  <si>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</si>
  <si>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</si>
  <si>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</si>
  <si>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</si>
  <si>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</si>
  <si>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</si>
  <si>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</si>
  <si>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</si>
  <si>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</si>
  <si>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</si>
  <si>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</si>
  <si>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</si>
  <si>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</si>
  <si>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</si>
  <si>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</si>
  <si>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</si>
  <si>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</si>
  <si>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</si>
  <si>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</si>
  <si>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</si>
  <si>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</si>
  <si>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</si>
  <si>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</si>
  <si>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</si>
  <si>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</si>
  <si>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</si>
  <si>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</si>
  <si>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</si>
  <si>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</si>
  <si>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</si>
  <si>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</si>
  <si>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</si>
  <si>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</si>
  <si>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</si>
  <si>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</si>
  <si>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</si>
  <si>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</si>
  <si>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</si>
  <si>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</si>
  <si>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</si>
  <si>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</si>
  <si>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</si>
  <si>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</si>
  <si>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</si>
  <si>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</si>
  <si>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</si>
  <si>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</si>
  <si>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</si>
  <si>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</si>
  <si>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</si>
  <si>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</si>
  <si>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</si>
  <si>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</si>
  <si>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</si>
  <si>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</si>
  <si>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</si>
  <si>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</si>
  <si>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</si>
  <si>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</si>
  <si>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</si>
  <si>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</si>
  <si>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</si>
  <si>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</si>
  <si>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</si>
  <si>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</si>
  <si>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</si>
  <si>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</si>
  <si>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</si>
  <si>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</si>
  <si>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</si>
  <si>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</si>
  <si>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</si>
  <si>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</si>
  <si>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</si>
  <si>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</si>
  <si>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</si>
  <si>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</si>
  <si>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</si>
  <si>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</si>
  <si>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</si>
  <si>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</si>
  <si>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</si>
  <si>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</si>
  <si>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</si>
  <si>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</si>
  <si>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</si>
  <si>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</si>
  <si>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</si>
  <si>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</si>
  <si>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</si>
  <si>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</si>
  <si>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</si>
  <si>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</si>
  <si>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</si>
  <si>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</si>
  <si>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</si>
  <si>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</si>
  <si>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</si>
  <si>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</si>
  <si>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</si>
  <si>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</si>
  <si>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</si>
  <si>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</si>
  <si>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</si>
  <si>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</si>
  <si>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</si>
  <si>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</si>
  <si>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</si>
  <si>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</si>
  <si>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</si>
  <si>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</si>
  <si>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</si>
  <si>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</si>
  <si>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</si>
  <si>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</si>
  <si>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</si>
  <si>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</si>
  <si>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</si>
  <si>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</si>
  <si>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</si>
  <si>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</si>
  <si>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</si>
  <si>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</si>
  <si>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</si>
  <si>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</si>
  <si>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</si>
  <si>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</si>
  <si>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</si>
  <si>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</si>
  <si>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</si>
  <si>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</si>
  <si>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</si>
  <si>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</si>
  <si>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</si>
  <si>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</si>
  <si>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</si>
  <si>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</si>
  <si>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</si>
  <si>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</si>
  <si>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</si>
  <si>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</si>
  <si>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</si>
  <si>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</si>
  <si>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</si>
  <si>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</si>
  <si>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</si>
  <si>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</si>
  <si>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</si>
  <si>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</si>
  <si>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</si>
  <si>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</si>
  <si>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</si>
  <si>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</si>
  <si>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</si>
  <si>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</si>
  <si>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</si>
  <si>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</si>
  <si>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</si>
  <si>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</si>
  <si>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</si>
  <si>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</si>
  <si>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</si>
  <si>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</si>
  <si>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</si>
  <si>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</si>
  <si>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</si>
  <si>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</si>
  <si>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</si>
  <si>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</si>
  <si>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</si>
  <si>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</si>
  <si>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</si>
  <si>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</si>
  <si>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</si>
  <si>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</si>
  <si>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</si>
  <si>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</si>
  <si>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</si>
  <si>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</si>
  <si>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</si>
  <si>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</si>
  <si>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</si>
  <si>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</si>
  <si>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</si>
  <si>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</si>
  <si>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</si>
  <si>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</si>
  <si>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</si>
  <si>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</si>
  <si>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</si>
  <si>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</si>
  <si>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</si>
  <si>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</si>
  <si>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</si>
  <si>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</si>
  <si>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</si>
  <si>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</si>
  <si>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</si>
  <si>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</si>
  <si>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</si>
  <si>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</si>
  <si>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</si>
  <si>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</si>
  <si>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</si>
  <si>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</si>
  <si>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</si>
  <si>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</si>
  <si>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</si>
  <si>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</si>
  <si>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</si>
  <si>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</si>
  <si>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</si>
  <si>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</si>
  <si>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</si>
  <si>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</si>
  <si>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</si>
  <si>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</si>
  <si>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</si>
  <si>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</si>
  <si>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</si>
  <si>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</si>
  <si>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</si>
  <si>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</si>
  <si>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</si>
  <si>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</si>
  <si>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</si>
  <si>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</si>
  <si>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</si>
  <si>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</si>
  <si>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</si>
  <si>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</si>
  <si>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</si>
  <si>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</si>
  <si>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</si>
  <si>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</si>
  <si>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</si>
  <si>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</si>
  <si>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</si>
  <si>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</si>
  <si>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</si>
  <si>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</si>
  <si>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</si>
  <si>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</si>
  <si>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</si>
  <si>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</si>
  <si>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</si>
  <si>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</si>
  <si>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</si>
  <si>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</si>
  <si>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</si>
  <si>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</si>
  <si>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</si>
  <si>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</si>
  <si>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</si>
  <si>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</si>
  <si>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</si>
  <si>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</si>
  <si>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</si>
  <si>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</si>
  <si>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</si>
  <si>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</si>
  <si>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</si>
  <si>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</si>
  <si>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</si>
  <si>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</si>
  <si>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</si>
  <si>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</si>
  <si>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</si>
  <si>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</si>
  <si>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</si>
  <si>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</si>
  <si>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</si>
  <si>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</si>
  <si>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</si>
  <si>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</si>
  <si>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</si>
  <si>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</si>
  <si>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</si>
  <si>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</si>
  <si>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</si>
  <si>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</si>
  <si>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</si>
  <si>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</si>
  <si>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</si>
  <si>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</si>
  <si>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</si>
  <si>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</si>
  <si>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</si>
  <si>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</si>
  <si>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</si>
  <si>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</si>
  <si>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</si>
  <si>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</si>
  <si>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</si>
  <si>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</si>
  <si>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</si>
  <si>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</si>
  <si>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</si>
  <si>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</si>
  <si>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</si>
  <si>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</si>
  <si>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</si>
  <si>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</si>
  <si>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</si>
  <si>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</si>
  <si>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</si>
  <si>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</si>
  <si>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</si>
  <si>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</si>
  <si>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</si>
  <si>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</si>
  <si>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</si>
  <si>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</si>
  <si>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</si>
  <si>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</si>
  <si>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</si>
  <si>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</si>
  <si>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</si>
  <si>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</si>
  <si>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</si>
  <si>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</si>
  <si>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</si>
  <si>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</si>
  <si>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</si>
  <si>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</si>
  <si>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</si>
  <si>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</si>
  <si>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</si>
  <si>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</si>
  <si>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</si>
  <si>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</si>
  <si>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</si>
  <si>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</si>
  <si>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</si>
  <si>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</si>
  <si>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</si>
  <si>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</si>
  <si>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</si>
  <si>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</si>
  <si>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</si>
  <si>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</si>
  <si>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</si>
  <si>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</si>
  <si>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</si>
  <si>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</si>
  <si>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</si>
  <si>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</si>
  <si>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</si>
  <si>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</si>
  <si>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</si>
  <si>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</si>
  <si>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</si>
  <si>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</si>
  <si>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</si>
  <si>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</si>
  <si>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</si>
  <si>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</si>
  <si>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</si>
  <si>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</si>
  <si>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</si>
  <si>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</si>
  <si>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</si>
  <si>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</si>
  <si>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</si>
  <si>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</si>
  <si>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</si>
  <si>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</si>
  <si>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</si>
  <si>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</si>
  <si>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</si>
  <si>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</si>
  <si>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</si>
  <si>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</si>
  <si>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</si>
  <si>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</si>
  <si>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</si>
  <si>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</si>
  <si>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</si>
  <si>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</si>
  <si>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</si>
  <si>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</si>
  <si>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</si>
  <si>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</si>
  <si>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</si>
  <si>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</si>
  <si>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</si>
  <si>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</si>
  <si>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</si>
  <si>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</si>
  <si>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</si>
  <si>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</si>
  <si>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</si>
  <si>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</si>
  <si>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</si>
  <si>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</si>
  <si>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</si>
  <si>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</si>
  <si>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</si>
  <si>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</si>
  <si>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</si>
  <si>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</si>
  <si>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</si>
  <si>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</si>
  <si>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</si>
  <si>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</si>
  <si>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</si>
  <si>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</si>
  <si>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</si>
  <si>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</si>
  <si>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</si>
  <si>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</si>
  <si>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</si>
  <si>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</si>
  <si>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</si>
  <si>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</si>
  <si>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</si>
  <si>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</si>
  <si>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</si>
  <si>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</si>
  <si>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</si>
  <si>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</si>
  <si>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</si>
  <si>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</si>
  <si>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</si>
  <si>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</si>
  <si>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</si>
  <si>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</si>
  <si>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</si>
  <si>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</si>
  <si>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</si>
  <si>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</si>
  <si>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</si>
  <si>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</si>
  <si>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</si>
  <si>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</si>
  <si>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</si>
  <si>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</si>
  <si>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</si>
  <si>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</si>
  <si>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</si>
  <si>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</si>
  <si>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</si>
  <si>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</si>
  <si>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</si>
  <si>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</si>
  <si>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</si>
  <si>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</si>
  <si>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</si>
  <si>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</si>
  <si>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</si>
  <si>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</si>
  <si>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</si>
  <si>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</si>
  <si>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</si>
  <si>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</si>
  <si>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</si>
  <si>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</si>
  <si>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</si>
  <si>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</si>
  <si>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</si>
  <si>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</si>
  <si>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</si>
  <si>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</si>
  <si>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</si>
  <si>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</si>
  <si>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</si>
  <si>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</si>
  <si>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</si>
  <si>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</si>
  <si>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</si>
  <si>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</si>
  <si>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</si>
  <si>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</si>
  <si>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</si>
  <si>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</si>
  <si>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</si>
  <si>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</si>
  <si>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</si>
  <si>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</si>
  <si>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</si>
  <si>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</si>
  <si>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</si>
  <si>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</si>
  <si>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</si>
  <si>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</si>
  <si>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</si>
  <si>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</si>
  <si>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</si>
  <si>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</si>
  <si>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</si>
  <si>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</si>
  <si>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</si>
  <si>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</si>
  <si>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</si>
  <si>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</si>
  <si>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</si>
  <si>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</si>
  <si>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</si>
  <si>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</si>
  <si>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</si>
  <si>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</si>
  <si>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</si>
  <si>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</si>
  <si>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</si>
  <si>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</si>
  <si>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</si>
  <si>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</si>
  <si>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</si>
  <si>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</si>
  <si>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</si>
  <si>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</si>
  <si>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</si>
  <si>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</si>
  <si>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</si>
  <si>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</si>
  <si>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</si>
  <si>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</si>
  <si>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</si>
  <si>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</si>
  <si>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</si>
  <si>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</si>
  <si>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</si>
  <si>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</si>
  <si>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</si>
  <si>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</si>
  <si>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</si>
  <si>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</si>
  <si>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</si>
  <si>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</si>
  <si>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</si>
  <si>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</si>
  <si>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</si>
  <si>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</si>
  <si>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</si>
  <si>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</si>
  <si>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</si>
  <si>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</si>
  <si>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</si>
  <si>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</si>
  <si>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</si>
  <si>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</si>
  <si>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</si>
  <si>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</si>
  <si>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</si>
  <si>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</si>
  <si>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</si>
  <si>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</si>
  <si>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</si>
  <si>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</si>
  <si>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</si>
  <si>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</si>
  <si>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</si>
  <si>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</si>
  <si>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</si>
  <si>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</si>
  <si>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</si>
  <si>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</si>
  <si>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</si>
  <si>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</si>
  <si>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</si>
  <si>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</si>
  <si>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</si>
  <si>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</si>
  <si>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</si>
  <si>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</si>
  <si>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</si>
  <si>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</si>
  <si>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</si>
  <si>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</si>
  <si>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</si>
  <si>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</si>
  <si>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</si>
  <si>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</si>
  <si>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</si>
  <si>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</si>
  <si>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</si>
  <si>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</si>
  <si>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</si>
  <si>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</si>
  <si>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</si>
  <si>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</si>
  <si>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</si>
  <si>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</si>
  <si>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</si>
  <si>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</si>
  <si>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</si>
  <si>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</si>
  <si>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</si>
  <si>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</si>
  <si>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</si>
  <si>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</si>
  <si>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</si>
  <si>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</si>
  <si>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</si>
  <si>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</si>
  <si>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</si>
  <si>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</si>
  <si>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</si>
  <si>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</si>
  <si>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</si>
  <si>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</si>
  <si>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</si>
  <si>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</si>
  <si>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</si>
  <si>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</si>
  <si>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</si>
  <si>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</si>
  <si>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</si>
  <si>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</si>
  <si>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</si>
  <si>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</si>
  <si>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</si>
  <si>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</si>
  <si>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</si>
  <si>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</si>
  <si>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</si>
  <si>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</si>
  <si>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</si>
  <si>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</si>
  <si>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</si>
  <si>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</si>
  <si>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</si>
  <si>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</si>
  <si>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</si>
  <si>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</si>
  <si>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</si>
  <si>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</si>
  <si>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</si>
  <si>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</si>
  <si>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</si>
  <si>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</si>
  <si>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</si>
  <si>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</si>
  <si>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</si>
  <si>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</si>
  <si>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</si>
  <si>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</si>
  <si>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</si>
  <si>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</si>
  <si>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</si>
  <si>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</si>
  <si>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</si>
  <si>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</si>
  <si>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</si>
  <si>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</si>
  <si>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</si>
  <si>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</si>
  <si>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</si>
  <si>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</si>
  <si>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</si>
  <si>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</si>
  <si>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</si>
  <si>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</si>
  <si>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</si>
  <si>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</si>
  <si>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</si>
  <si>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</si>
  <si>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</si>
  <si>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</si>
  <si>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</si>
  <si>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</si>
  <si>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</si>
  <si>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</si>
  <si>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</si>
  <si>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</si>
  <si>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</si>
  <si>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</si>
  <si>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</si>
  <si>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</si>
  <si>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</si>
  <si>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</si>
  <si>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</si>
  <si>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</si>
  <si>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</si>
  <si>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</si>
  <si>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</si>
  <si>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</si>
  <si>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</si>
  <si>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</si>
  <si>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</si>
  <si>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</si>
  <si>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</si>
  <si>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</si>
  <si>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</si>
  <si>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</si>
  <si>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</si>
  <si>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</si>
  <si>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</si>
  <si>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</si>
  <si>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</si>
  <si>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</si>
  <si>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</si>
  <si>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</si>
  <si>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</si>
  <si>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</si>
  <si>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</si>
  <si>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</si>
  <si>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</si>
  <si>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</si>
  <si>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</si>
  <si>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</si>
  <si>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</si>
  <si>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</si>
  <si>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</si>
  <si>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</si>
  <si>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</si>
  <si>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</si>
  <si>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</si>
  <si>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</si>
  <si>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</si>
  <si>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</si>
  <si>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</si>
  <si>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</si>
  <si>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</si>
  <si>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</si>
  <si>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</si>
  <si>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</si>
  <si>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</si>
  <si>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</si>
  <si>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</si>
  <si>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</si>
  <si>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</si>
  <si>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</si>
  <si>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</si>
  <si>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</si>
  <si>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</si>
  <si>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</si>
  <si>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</si>
  <si>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</si>
  <si>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</si>
  <si>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</si>
  <si>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</si>
  <si>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</si>
  <si>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</si>
  <si>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</si>
  <si>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</si>
  <si>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</si>
  <si>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</si>
  <si>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</si>
  <si>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</si>
  <si>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</si>
  <si>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</si>
  <si>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</si>
  <si>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</si>
  <si>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</si>
  <si>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</si>
  <si>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</si>
  <si>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</si>
  <si>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</si>
  <si>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</si>
  <si>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</si>
  <si>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</si>
  <si>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</si>
  <si>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</si>
  <si>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</si>
  <si>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</si>
  <si>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</si>
  <si>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</si>
  <si>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</si>
  <si>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</si>
  <si>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</si>
  <si>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</si>
  <si>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</si>
  <si>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</si>
  <si>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</si>
  <si>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</si>
  <si>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</si>
  <si>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</si>
  <si>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</si>
  <si>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</si>
  <si>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</si>
  <si>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</si>
  <si>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</si>
  <si>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</si>
  <si>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</si>
  <si>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</si>
  <si>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</si>
  <si>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</si>
  <si>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</si>
  <si>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</si>
  <si>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</si>
  <si>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</si>
  <si>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</si>
  <si>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</si>
  <si>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</si>
  <si>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</si>
  <si>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</si>
  <si>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</si>
  <si>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</si>
  <si>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</si>
  <si>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</si>
  <si>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</si>
  <si>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</si>
  <si>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</si>
  <si>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</si>
  <si>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</si>
  <si>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</si>
  <si>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</si>
  <si>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</si>
  <si>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</si>
  <si>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</si>
  <si>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</si>
  <si>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</si>
  <si>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</si>
  <si>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</si>
  <si>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</si>
  <si>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</si>
  <si>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</si>
  <si>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</si>
  <si>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</si>
  <si>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</si>
  <si>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</si>
  <si>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</si>
  <si>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</si>
  <si>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</si>
  <si>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</si>
  <si>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</si>
  <si>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</si>
  <si>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</si>
  <si>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</si>
  <si>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</si>
  <si>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</si>
  <si>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</si>
  <si>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</si>
  <si>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</si>
  <si>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</si>
  <si>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</si>
  <si>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</si>
  <si>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</si>
  <si>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</si>
  <si>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</si>
  <si>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</si>
  <si>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</si>
  <si>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</si>
  <si>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</si>
  <si>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</si>
  <si>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</si>
  <si>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</si>
  <si>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</si>
  <si>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</si>
  <si>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</si>
  <si>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</si>
  <si>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</si>
  <si>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</si>
  <si>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</si>
  <si>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</si>
  <si>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</si>
  <si>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</si>
  <si>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</si>
  <si>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</si>
  <si>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</si>
  <si>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</si>
  <si>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</si>
  <si>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</si>
  <si>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</si>
  <si>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</si>
  <si>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</si>
  <si>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</si>
  <si>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</si>
  <si>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</si>
  <si>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</si>
  <si>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</si>
  <si>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</si>
  <si>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</si>
  <si>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</si>
  <si>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</si>
  <si>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</si>
  <si>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</si>
  <si>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</si>
  <si>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</si>
  <si>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</si>
  <si>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</si>
  <si>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</si>
  <si>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</si>
  <si>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</si>
  <si>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</si>
  <si>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</si>
  <si>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</si>
  <si>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</si>
  <si>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</si>
  <si>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</si>
  <si>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</si>
  <si>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</si>
  <si>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</si>
  <si>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</si>
  <si>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</si>
  <si>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</si>
  <si>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</si>
  <si>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</si>
  <si>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</si>
  <si>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</si>
  <si>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</si>
  <si>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</si>
  <si>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</si>
  <si>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</si>
  <si>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</si>
  <si>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</si>
  <si>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</si>
  <si>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</si>
  <si>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</si>
  <si>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</si>
  <si>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</si>
  <si>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</si>
  <si>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</si>
  <si>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</si>
  <si>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</si>
  <si>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</si>
  <si>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</si>
  <si>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</si>
  <si>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</si>
  <si>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</si>
  <si>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</si>
  <si>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</si>
  <si>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</si>
  <si>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</si>
  <si>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</si>
  <si>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</si>
  <si>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</si>
  <si>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</si>
  <si>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</si>
  <si>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</si>
  <si>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</si>
  <si>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</si>
  <si>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</si>
  <si>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</si>
  <si>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</si>
  <si>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</si>
  <si>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</si>
  <si>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</si>
  <si>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</si>
  <si>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</si>
  <si>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</si>
  <si>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</si>
  <si>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</si>
  <si>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</si>
  <si>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</si>
  <si>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</si>
  <si>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</si>
  <si>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</si>
  <si>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</si>
  <si>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</si>
  <si>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</si>
  <si>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</si>
  <si>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</si>
  <si>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</si>
  <si>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</si>
  <si>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</si>
  <si>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</si>
  <si>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</si>
  <si>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</si>
  <si>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</si>
  <si>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</si>
  <si>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</si>
  <si>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</si>
  <si>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</si>
  <si>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</si>
  <si>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</si>
  <si>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</si>
  <si>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</si>
  <si>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</si>
  <si>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</si>
  <si>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</si>
  <si>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</si>
  <si>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</si>
  <si>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</si>
  <si>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</si>
  <si>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</si>
  <si>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</si>
  <si>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</si>
  <si>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</si>
  <si>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</si>
  <si>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</si>
  <si>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</si>
  <si>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</si>
  <si>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</si>
  <si>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</si>
  <si>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</si>
  <si>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</si>
  <si>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</si>
  <si>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</si>
  <si>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</si>
  <si>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</si>
  <si>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</si>
  <si>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</si>
  <si>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</si>
  <si>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</si>
  <si>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</si>
  <si>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</si>
  <si>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</si>
  <si>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</si>
  <si>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</si>
  <si>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</si>
  <si>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</si>
  <si>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</si>
  <si>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</si>
  <si>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</si>
  <si>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</si>
  <si>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</si>
  <si>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</si>
  <si>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</si>
  <si>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</si>
  <si>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</si>
  <si>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</si>
  <si>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</si>
  <si>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</si>
  <si>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</si>
  <si>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</si>
  <si>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</si>
  <si>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</si>
  <si>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</si>
  <si>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</si>
  <si>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</si>
  <si>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</si>
  <si>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</si>
  <si>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</si>
  <si>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</si>
  <si>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</si>
  <si>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</si>
  <si>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</si>
  <si>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</si>
  <si>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</si>
  <si>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</si>
  <si>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</si>
  <si>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</si>
  <si>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</si>
  <si>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</si>
  <si>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</si>
  <si>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</si>
  <si>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</si>
  <si>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</si>
  <si>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</si>
  <si>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</si>
  <si>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</si>
  <si>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</si>
  <si>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</si>
  <si>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</si>
  <si>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</si>
  <si>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</si>
  <si>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</si>
  <si>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</si>
  <si>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</si>
  <si>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</si>
  <si>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</si>
  <si>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</si>
  <si>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</si>
  <si>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</si>
  <si>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</si>
  <si>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</si>
  <si>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</si>
  <si>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</si>
  <si>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</si>
  <si>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</si>
  <si>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</si>
  <si>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</si>
  <si>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</si>
  <si>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</si>
  <si>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</si>
  <si>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</si>
  <si>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</si>
  <si>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</si>
  <si>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</si>
  <si>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</si>
  <si>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</si>
  <si>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</si>
  <si>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</si>
  <si>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</si>
  <si>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</si>
  <si>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</si>
  <si>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</si>
  <si>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</si>
  <si>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</si>
  <si>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</si>
  <si>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</si>
  <si>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</si>
  <si>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</si>
  <si>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</si>
  <si>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</si>
  <si>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</si>
  <si>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</si>
  <si>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</si>
  <si>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</si>
  <si>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</si>
  <si>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</si>
  <si>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</si>
  <si>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</si>
  <si>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</si>
  <si>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</si>
  <si>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</si>
  <si>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</si>
  <si>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</si>
  <si>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</si>
  <si>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</si>
  <si>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</si>
  <si>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</si>
  <si>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</si>
  <si>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</si>
  <si>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</si>
  <si>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</si>
  <si>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</si>
  <si>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</si>
  <si>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</si>
  <si>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</si>
  <si>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</si>
  <si>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</si>
  <si>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</si>
  <si>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</si>
  <si>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</si>
  <si>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</si>
  <si>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</si>
  <si>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</si>
  <si>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</si>
  <si>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</si>
  <si>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</si>
  <si>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</si>
  <si>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</si>
  <si>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</si>
  <si>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</si>
  <si>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</si>
  <si>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</si>
  <si>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</si>
  <si>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</si>
  <si>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</si>
  <si>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</si>
  <si>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</si>
  <si>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</si>
  <si>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</si>
  <si>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</si>
  <si>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</si>
  <si>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</si>
  <si>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</si>
  <si>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</si>
  <si>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</si>
  <si>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</si>
  <si>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</si>
  <si>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</si>
  <si>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</si>
  <si>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</si>
  <si>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</si>
  <si>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</si>
  <si>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</si>
  <si>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</si>
  <si>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</si>
  <si>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</si>
  <si>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</si>
  <si>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</si>
  <si>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</si>
  <si>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</si>
  <si>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</si>
  <si>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</si>
  <si>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</si>
  <si>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</si>
  <si>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</si>
  <si>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</si>
  <si>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</si>
  <si>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</si>
  <si>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</si>
  <si>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</si>
  <si>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</si>
  <si>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</si>
  <si>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</si>
  <si>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</si>
  <si>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</si>
  <si>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</si>
  <si>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</si>
  <si>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</si>
  <si>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</si>
  <si>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</si>
  <si>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</si>
  <si>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</si>
  <si>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</si>
  <si>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</si>
  <si>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</si>
  <si>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</si>
  <si>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</si>
  <si>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</si>
  <si>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</si>
  <si>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</si>
  <si>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</si>
  <si>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</si>
  <si>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</si>
  <si>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</si>
  <si>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</si>
  <si>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</si>
  <si>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</si>
  <si>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</si>
  <si>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</si>
  <si>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</si>
  <si>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</si>
  <si>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</si>
  <si>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</si>
  <si>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</si>
  <si>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</si>
  <si>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</si>
  <si>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</si>
  <si>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</si>
  <si>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</si>
  <si>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</si>
  <si>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</si>
  <si>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</si>
  <si>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</si>
  <si>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</si>
  <si>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</si>
  <si>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</si>
  <si>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</si>
  <si>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</si>
  <si>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</si>
  <si>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</si>
  <si>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</si>
  <si>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</si>
  <si>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</si>
  <si>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</si>
  <si>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</si>
  <si>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</si>
  <si>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</si>
  <si>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</si>
  <si>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</si>
  <si>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</si>
  <si>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</si>
  <si>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</si>
  <si>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</si>
  <si>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</si>
  <si>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</si>
  <si>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</si>
  <si>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</si>
  <si>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</si>
  <si>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</si>
  <si>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</si>
  <si>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</si>
  <si>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</si>
  <si>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</si>
  <si>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</si>
  <si>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</si>
  <si>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</si>
  <si>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</si>
  <si>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</si>
  <si>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</si>
  <si>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</si>
  <si>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</si>
  <si>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</si>
  <si>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</si>
  <si>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</si>
  <si>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</si>
  <si>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</si>
  <si>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</si>
  <si>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</si>
  <si>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</si>
  <si>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</si>
  <si>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</si>
  <si>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</si>
  <si>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</si>
  <si>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</si>
  <si>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</si>
  <si>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</si>
  <si>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</si>
  <si>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</si>
  <si>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</si>
  <si>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</si>
  <si>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</si>
  <si>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</si>
  <si>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</si>
  <si>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</si>
  <si>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</si>
  <si>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</si>
  <si>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</si>
  <si>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</si>
  <si>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</si>
  <si>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</si>
  <si>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</si>
  <si>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</si>
  <si>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</si>
  <si>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</si>
  <si>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</si>
  <si>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</si>
  <si>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</si>
  <si>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</si>
  <si>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</si>
  <si>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</si>
  <si>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</si>
  <si>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</si>
  <si>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</si>
  <si>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</si>
  <si>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</si>
  <si>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</si>
  <si>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</si>
  <si>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</si>
  <si>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</si>
  <si>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</si>
  <si>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</si>
  <si>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</si>
  <si>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</si>
  <si>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</si>
  <si>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</si>
  <si>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</si>
  <si>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</si>
  <si>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</si>
  <si>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</si>
  <si>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</si>
  <si>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</si>
  <si>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</si>
  <si>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</si>
  <si>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</si>
  <si>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</si>
  <si>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</si>
  <si>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</si>
  <si>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</si>
  <si>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</si>
  <si>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</si>
  <si>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</si>
  <si>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</si>
  <si>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</si>
  <si>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</si>
  <si>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</si>
  <si>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</si>
  <si>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</si>
  <si>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</si>
  <si>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</si>
  <si>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</si>
  <si>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</si>
  <si>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</si>
  <si>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</si>
  <si>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</si>
  <si>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</si>
  <si>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</si>
  <si>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</si>
  <si>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</si>
  <si>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</si>
  <si>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</si>
  <si>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</si>
  <si>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</si>
  <si>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</si>
  <si>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</si>
  <si>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</si>
  <si>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</si>
  <si>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</si>
  <si>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</si>
  <si>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</si>
  <si>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</si>
  <si>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</si>
  <si>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</si>
  <si>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</si>
  <si>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</si>
  <si>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</si>
  <si>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</si>
  <si>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</si>
  <si>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</si>
  <si>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</si>
  <si>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</si>
  <si>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</si>
  <si>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</si>
  <si>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</si>
  <si>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</si>
  <si>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</si>
  <si>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</si>
  <si>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</si>
  <si>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</si>
  <si>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</si>
  <si>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</si>
  <si>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</si>
  <si>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</si>
  <si>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</si>
  <si>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</si>
  <si>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</si>
  <si>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</si>
  <si>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</si>
  <si>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</si>
  <si>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</si>
  <si>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</si>
  <si>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</si>
  <si>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</si>
  <si>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</si>
  <si>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</si>
  <si>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</si>
  <si>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</si>
  <si>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</si>
  <si>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</si>
  <si>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</si>
  <si>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</si>
  <si>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</si>
  <si>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</si>
  <si>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</si>
  <si>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</si>
  <si>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</si>
  <si>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</si>
  <si>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</si>
  <si>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</si>
  <si>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</si>
  <si>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</si>
  <si>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</si>
  <si>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</si>
  <si>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</si>
  <si>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</si>
  <si>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</si>
  <si>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</si>
  <si>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</si>
  <si>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</si>
  <si>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</si>
  <si>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</si>
  <si>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</si>
  <si>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</si>
  <si>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</si>
  <si>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</si>
  <si>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</si>
  <si>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</si>
  <si>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</si>
  <si>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</si>
  <si>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</si>
  <si>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</si>
  <si>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</si>
  <si>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</si>
  <si>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</si>
  <si>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</si>
  <si>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</si>
  <si>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</si>
  <si>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</si>
  <si>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</si>
  <si>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</si>
  <si>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</si>
  <si>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</si>
  <si>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</si>
  <si>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</si>
  <si>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</si>
  <si>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</si>
  <si>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</si>
  <si>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</si>
  <si>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</si>
  <si>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</si>
  <si>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</si>
  <si>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</si>
  <si>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</si>
  <si>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</si>
  <si>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</si>
  <si>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</si>
  <si>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</si>
  <si>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</si>
  <si>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</si>
  <si>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</si>
  <si>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</si>
  <si>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</si>
  <si>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</si>
  <si>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</si>
  <si>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</si>
  <si>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</si>
  <si>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</si>
  <si>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</si>
  <si>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</si>
  <si>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</si>
  <si>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</si>
  <si>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</si>
  <si>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</si>
  <si>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</si>
  <si>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</si>
  <si>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</si>
  <si>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</si>
  <si>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</si>
  <si>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</si>
  <si>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</si>
  <si>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</si>
  <si>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</si>
  <si>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</si>
  <si>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</si>
  <si>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</si>
  <si>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</si>
  <si>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</si>
  <si>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</si>
  <si>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</si>
  <si>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</si>
  <si>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</si>
  <si>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</si>
  <si>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</si>
  <si>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</si>
  <si>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</si>
  <si>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</si>
  <si>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</si>
  <si>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</si>
  <si>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</si>
  <si>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</si>
  <si>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</si>
  <si>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</si>
  <si>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</si>
  <si>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</si>
  <si>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</si>
  <si>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</si>
  <si>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</si>
  <si>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</si>
  <si>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</si>
  <si>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</si>
  <si>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</si>
  <si>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</si>
  <si>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</si>
  <si>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</si>
  <si>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</si>
  <si>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</si>
  <si>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</si>
  <si>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</si>
  <si>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</si>
  <si>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</si>
  <si>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</si>
  <si>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</si>
  <si>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</si>
  <si>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</si>
  <si>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</si>
  <si>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</si>
  <si>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</si>
  <si>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</si>
  <si>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</si>
  <si>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</si>
  <si>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</si>
  <si>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</si>
  <si>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</si>
  <si>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</si>
  <si>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</si>
  <si>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</si>
  <si>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</si>
  <si>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</si>
  <si>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</si>
  <si>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</si>
  <si>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</si>
  <si>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</si>
  <si>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</si>
  <si>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</si>
  <si>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</si>
  <si>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</si>
  <si>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</si>
  <si>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</si>
  <si>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</si>
  <si>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</si>
  <si>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</si>
  <si>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</si>
  <si>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</si>
  <si>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</si>
  <si>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</si>
  <si>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</si>
  <si>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</si>
  <si>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</si>
  <si>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</si>
  <si>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</si>
  <si>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</si>
  <si>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</si>
  <si>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</si>
  <si>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</si>
  <si>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</si>
  <si>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</si>
  <si>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</si>
  <si>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</si>
  <si>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</si>
  <si>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</si>
  <si>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</si>
  <si>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</si>
  <si>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</si>
  <si>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</si>
  <si>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</si>
  <si>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</si>
  <si>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</si>
  <si>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</si>
  <si>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</si>
  <si>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</si>
  <si>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</si>
  <si>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</si>
  <si>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</si>
  <si>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</si>
  <si>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</si>
  <si>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</si>
  <si>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</si>
  <si>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</si>
  <si>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</si>
  <si>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</si>
  <si>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</si>
  <si>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</si>
  <si>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</si>
  <si>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</si>
  <si>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</si>
  <si>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</si>
  <si>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</si>
  <si>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</si>
  <si>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</si>
  <si>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</si>
  <si>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</si>
  <si>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</si>
  <si>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</si>
  <si>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</si>
  <si>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</si>
  <si>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</si>
  <si>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</si>
  <si>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</si>
  <si>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</si>
  <si>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</si>
  <si>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</si>
  <si>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</si>
  <si>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</si>
  <si>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</si>
  <si>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</si>
  <si>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</si>
  <si>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</si>
  <si>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</si>
  <si>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</si>
  <si>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</si>
  <si>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</si>
  <si>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</si>
  <si>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</si>
  <si>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</si>
  <si>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</si>
  <si>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</si>
  <si>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</si>
  <si>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</si>
  <si>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</si>
  <si>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</si>
  <si>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</si>
  <si>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</si>
  <si>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</si>
  <si>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</si>
  <si>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</si>
  <si>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</si>
  <si>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</si>
  <si>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</si>
  <si>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</si>
  <si>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</si>
  <si>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</si>
  <si>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</si>
  <si>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</si>
  <si>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</si>
  <si>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</si>
  <si>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</si>
  <si>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</si>
  <si>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</si>
  <si>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</si>
  <si>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</si>
  <si>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</si>
  <si>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</si>
  <si>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</si>
  <si>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</si>
  <si>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</si>
  <si>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</si>
  <si>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</si>
  <si>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</si>
  <si>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</si>
  <si>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</si>
  <si>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</si>
  <si>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</si>
  <si>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</si>
  <si>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</si>
  <si>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</si>
  <si>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</si>
  <si>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</si>
  <si>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</si>
  <si>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</si>
  <si>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</si>
  <si>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</si>
  <si>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</si>
  <si>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</si>
  <si>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</si>
  <si>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</si>
  <si>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</si>
  <si>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</si>
  <si>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</si>
  <si>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</si>
  <si>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</si>
  <si>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</si>
  <si>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</si>
  <si>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</si>
  <si>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</si>
  <si>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</si>
  <si>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</si>
  <si>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</si>
  <si>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</si>
  <si>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</si>
  <si>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</si>
  <si>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</si>
  <si>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</si>
  <si>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</si>
  <si>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</si>
  <si>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</si>
  <si>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</si>
  <si>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</si>
  <si>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</si>
  <si>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</si>
  <si>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</si>
  <si>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</si>
  <si>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</si>
  <si>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</si>
  <si>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</si>
  <si>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</si>
  <si>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</si>
  <si>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</si>
  <si>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</si>
  <si>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</si>
  <si>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</si>
  <si>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</si>
  <si>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</si>
  <si>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</si>
  <si>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</si>
  <si>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</si>
  <si>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</si>
  <si>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</si>
  <si>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</si>
  <si>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</si>
  <si>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</si>
  <si>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</si>
  <si>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</si>
  <si>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</si>
  <si>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</si>
  <si>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</si>
  <si>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</si>
  <si>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</si>
  <si>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</si>
  <si>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</si>
  <si>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</si>
  <si>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</si>
  <si>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</si>
  <si>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</si>
  <si>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</si>
  <si>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</si>
  <si>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</si>
  <si>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</si>
  <si>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</si>
  <si>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</si>
  <si>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</si>
  <si>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</si>
  <si>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</si>
  <si>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</si>
  <si>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</si>
  <si>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</si>
  <si>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</si>
  <si>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</si>
  <si>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</si>
  <si>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</si>
  <si>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</si>
  <si>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</si>
  <si>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</si>
  <si>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</si>
  <si>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</si>
  <si>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</si>
  <si>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</si>
  <si>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</si>
  <si>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</si>
  <si>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</si>
  <si>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</si>
  <si>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</si>
  <si>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</si>
  <si>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</si>
  <si>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</si>
  <si>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</si>
  <si>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</si>
  <si>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</si>
  <si>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</si>
  <si>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</si>
  <si>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</si>
  <si>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</si>
  <si>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</si>
  <si>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</si>
  <si>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</si>
  <si>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</si>
  <si>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</si>
  <si>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</si>
  <si>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</si>
  <si>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</si>
  <si>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</si>
  <si>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</si>
  <si>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</si>
  <si>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</si>
  <si>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</si>
  <si>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</si>
  <si>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</si>
  <si>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</si>
  <si>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</si>
  <si>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</si>
  <si>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</si>
  <si>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</si>
  <si>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</si>
  <si>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</si>
  <si>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</si>
  <si>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</si>
  <si>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</si>
  <si>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</si>
  <si>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</si>
  <si>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</si>
  <si>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</si>
  <si>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</si>
  <si>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</si>
  <si>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</si>
  <si>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</si>
  <si>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</si>
  <si>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</si>
  <si>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</si>
  <si>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</si>
  <si>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</si>
  <si>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</si>
  <si>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</si>
  <si>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</si>
  <si>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</si>
  <si>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</si>
  <si>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</si>
  <si>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</si>
  <si>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</si>
  <si>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</si>
  <si>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</si>
  <si>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</si>
  <si>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</si>
  <si>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</si>
  <si>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</si>
  <si>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</si>
  <si>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</si>
  <si>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</si>
  <si>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</si>
  <si>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</si>
  <si>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</si>
  <si>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</si>
  <si>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</si>
  <si>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</si>
  <si>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</si>
  <si>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</si>
  <si>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</si>
  <si>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</si>
  <si>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</si>
  <si>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</si>
  <si>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</si>
  <si>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</si>
  <si>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</si>
  <si>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</si>
  <si>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</si>
  <si>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</si>
  <si>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</si>
  <si>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</si>
  <si>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</si>
  <si>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</si>
  <si>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</si>
  <si>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</si>
  <si>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</si>
  <si>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</si>
  <si>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</si>
  <si>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</si>
  <si>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</si>
  <si>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</si>
  <si>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</si>
  <si>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</si>
  <si>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</si>
  <si>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</si>
  <si>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</si>
  <si>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</si>
  <si>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</si>
  <si>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</si>
  <si>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</si>
  <si>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</si>
  <si>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</si>
  <si>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</si>
  <si>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</si>
  <si>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</si>
  <si>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</si>
  <si>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</si>
  <si>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</si>
  <si>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</si>
  <si>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</si>
  <si>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</si>
  <si>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</si>
  <si>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</si>
  <si>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</si>
  <si>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</si>
  <si>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</si>
  <si>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</si>
  <si>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</si>
  <si>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</si>
  <si>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</si>
  <si>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</si>
  <si>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</si>
  <si>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</si>
  <si>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</si>
  <si>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</si>
  <si>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</si>
  <si>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</si>
  <si>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</si>
  <si>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</si>
  <si>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</si>
  <si>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</si>
  <si>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</si>
  <si>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</si>
  <si>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</si>
  <si>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</si>
  <si>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</si>
  <si>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</si>
  <si>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</si>
  <si>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</si>
  <si>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</si>
  <si>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</si>
  <si>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</si>
  <si>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</si>
  <si>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</si>
  <si>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</si>
  <si>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</si>
  <si>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</si>
  <si>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</si>
  <si>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</si>
  <si>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</si>
  <si>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</si>
  <si>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</si>
  <si>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</si>
  <si>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</si>
  <si>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</si>
  <si>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</si>
  <si>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</si>
  <si>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</si>
  <si>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</si>
  <si>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</si>
  <si>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</si>
  <si>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</si>
  <si>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</si>
  <si>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</si>
  <si>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</si>
  <si>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</si>
  <si>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</si>
  <si>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</si>
  <si>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</si>
  <si>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</si>
  <si>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</si>
  <si>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</si>
  <si>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</si>
  <si>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</si>
  <si>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</si>
  <si>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</si>
  <si>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</si>
  <si>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</si>
  <si>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</si>
  <si>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</si>
  <si>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</si>
  <si>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</si>
  <si>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</si>
  <si>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</si>
  <si>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</si>
  <si>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</si>
  <si>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</si>
  <si>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</si>
  <si>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</si>
  <si>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</si>
  <si>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</si>
  <si>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</si>
  <si>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</si>
  <si>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</si>
  <si>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</si>
  <si>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</si>
  <si>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</si>
  <si>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</si>
  <si>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</si>
  <si>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</si>
  <si>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</si>
  <si>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</si>
  <si>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</si>
  <si>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</si>
  <si>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</si>
  <si>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</si>
  <si>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</si>
  <si>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</si>
  <si>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</si>
  <si>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</si>
  <si>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</si>
  <si>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</si>
  <si>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</si>
  <si>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</si>
  <si>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</si>
  <si>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</si>
  <si>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</si>
  <si>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</si>
  <si>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</si>
  <si>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</si>
  <si>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</si>
  <si>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</si>
  <si>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</si>
  <si>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</si>
  <si>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</si>
  <si>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</si>
  <si>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</si>
  <si>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</si>
  <si>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</si>
  <si>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</si>
  <si>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</si>
  <si>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</si>
  <si>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</si>
  <si>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</si>
  <si>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</si>
  <si>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</si>
  <si>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</si>
  <si>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</si>
  <si>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</si>
  <si>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</si>
  <si>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</si>
  <si>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</si>
  <si>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</si>
  <si>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</si>
  <si>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</si>
  <si>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</si>
  <si>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</si>
  <si>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</si>
  <si>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</si>
  <si>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</si>
  <si>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</si>
  <si>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</si>
  <si>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</si>
  <si>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</si>
  <si>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</si>
  <si>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</si>
  <si>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</si>
  <si>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</si>
  <si>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</si>
  <si>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</si>
  <si>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</si>
  <si>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</si>
  <si>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</si>
  <si>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</si>
  <si>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</si>
  <si>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</si>
  <si>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</si>
  <si>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</si>
  <si>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</si>
  <si>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</si>
  <si>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</si>
  <si>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</si>
  <si>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</si>
  <si>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</si>
  <si>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</si>
  <si>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</si>
  <si>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</si>
  <si>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</si>
  <si>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</si>
  <si>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</si>
  <si>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</si>
  <si>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</si>
  <si>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</si>
  <si>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</si>
  <si>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</si>
  <si>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</si>
  <si>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</si>
  <si>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</si>
  <si>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</si>
  <si>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</si>
  <si>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</si>
  <si>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</si>
  <si>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</si>
  <si>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</si>
  <si>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</si>
  <si>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</si>
  <si>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</si>
  <si>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</si>
  <si>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</si>
  <si>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</si>
  <si>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</si>
  <si>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</si>
  <si>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</si>
  <si>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</si>
  <si>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</si>
  <si>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</si>
  <si>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</si>
  <si>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</si>
  <si>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</si>
  <si>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</si>
  <si>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</si>
  <si>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</si>
  <si>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</si>
  <si>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</si>
  <si>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</si>
  <si>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</si>
  <si>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</si>
  <si>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</si>
  <si>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</si>
  <si>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</si>
  <si>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</si>
  <si>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</si>
  <si>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</si>
  <si>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</si>
  <si>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</si>
  <si>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</si>
  <si>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</si>
  <si>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</si>
  <si>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</si>
  <si>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</si>
  <si>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</si>
  <si>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</si>
  <si>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</si>
  <si>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</si>
  <si>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</si>
  <si>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</si>
  <si>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</si>
  <si>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</si>
  <si>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</si>
  <si>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</si>
  <si>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</si>
  <si>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</si>
  <si>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</si>
  <si>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</si>
  <si>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</si>
  <si>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</si>
  <si>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</si>
  <si>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</si>
  <si>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</si>
  <si>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</si>
  <si>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</si>
  <si>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</si>
  <si>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</si>
  <si>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</si>
  <si>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</si>
  <si>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</si>
  <si>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</si>
  <si>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</si>
  <si>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</si>
  <si>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</si>
  <si>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</si>
  <si>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</si>
  <si>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</si>
  <si>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</si>
  <si>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</si>
  <si>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</si>
  <si>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</si>
  <si>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</si>
  <si>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</si>
  <si>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</si>
  <si>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</si>
  <si>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</si>
  <si>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</si>
  <si>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</si>
  <si>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</si>
  <si>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</si>
  <si>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</si>
  <si>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</si>
  <si>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</si>
  <si>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</si>
  <si>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</si>
  <si>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</si>
  <si>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</si>
  <si>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</si>
  <si>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</si>
  <si>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</si>
  <si>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</si>
  <si>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</si>
  <si>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</si>
  <si>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</si>
  <si>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</si>
  <si>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</si>
  <si>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</si>
  <si>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</si>
  <si>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</si>
  <si>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</si>
  <si>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</si>
  <si>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</si>
  <si>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</si>
  <si>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</si>
  <si>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</si>
  <si>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</si>
  <si>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</si>
  <si>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</si>
  <si>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</si>
  <si>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</si>
  <si>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</si>
  <si>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</si>
  <si>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</si>
  <si>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</si>
  <si>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</si>
  <si>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</si>
  <si>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</si>
  <si>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</si>
  <si>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</si>
  <si>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</si>
  <si>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</si>
  <si>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</si>
  <si>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</si>
  <si>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</si>
  <si>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</si>
  <si>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</si>
  <si>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</si>
  <si>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</si>
  <si>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</si>
  <si>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</si>
  <si>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</si>
  <si>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</si>
  <si>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</si>
  <si>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</si>
  <si>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</si>
  <si>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</si>
  <si>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</si>
  <si>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</si>
  <si>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</si>
  <si>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</si>
  <si>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</si>
  <si>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</si>
  <si>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</si>
  <si>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</si>
  <si>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</si>
  <si>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</si>
  <si>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</si>
  <si>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</si>
  <si>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</si>
  <si>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</si>
  <si>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</si>
  <si>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</si>
  <si>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</si>
  <si>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</si>
  <si>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</si>
  <si>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</si>
  <si>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</si>
  <si>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</si>
  <si>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</si>
  <si>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</si>
  <si>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</si>
  <si>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</si>
  <si>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</si>
  <si>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</si>
  <si>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</si>
  <si>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</si>
  <si>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</si>
  <si>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</si>
  <si>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</si>
  <si>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</si>
  <si>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</si>
  <si>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</si>
  <si>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</si>
  <si>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</si>
  <si>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</si>
  <si>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</si>
  <si>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</si>
  <si>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</si>
  <si>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</si>
  <si>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</si>
  <si>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</si>
  <si>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</si>
  <si>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</si>
  <si>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</si>
  <si>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</si>
  <si>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</si>
  <si>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</si>
  <si>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</si>
  <si>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</si>
  <si>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</si>
  <si>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</si>
  <si>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</si>
  <si>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</si>
  <si>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</si>
  <si>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</si>
  <si>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</si>
  <si>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</si>
  <si>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</si>
  <si>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</si>
  <si>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</si>
  <si>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</si>
  <si>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</si>
  <si>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</si>
  <si>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</si>
  <si>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</si>
  <si>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</si>
  <si>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</si>
  <si>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</si>
  <si>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</si>
  <si>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</si>
  <si>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</si>
  <si>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</si>
  <si>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</si>
  <si>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</si>
  <si>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</si>
  <si>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</si>
  <si>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</si>
  <si>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</si>
  <si>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</si>
  <si>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</si>
  <si>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</si>
  <si>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</si>
  <si>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</si>
  <si>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</si>
  <si>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</si>
  <si>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</si>
  <si>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</si>
  <si>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</si>
  <si>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</si>
  <si>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</si>
  <si>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</si>
  <si>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</si>
  <si>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</si>
  <si>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</si>
  <si>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</si>
  <si>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</si>
  <si>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</si>
  <si>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</si>
  <si>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</si>
  <si>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</si>
  <si>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</si>
  <si>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</si>
  <si>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</si>
  <si>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</si>
  <si>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</si>
  <si>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</si>
  <si>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</si>
  <si>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</si>
  <si>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</si>
  <si>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</si>
  <si>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</si>
  <si>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</si>
  <si>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</si>
  <si>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</si>
  <si>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</si>
  <si>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</si>
  <si>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</si>
  <si>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</si>
  <si>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</si>
  <si>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</si>
  <si>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</si>
  <si>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</si>
  <si>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</si>
  <si>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</si>
  <si>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</si>
  <si>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</si>
  <si>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</si>
  <si>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</si>
  <si>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</si>
  <si>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</si>
  <si>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</si>
  <si>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</si>
  <si>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</si>
  <si>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</si>
  <si>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</si>
  <si>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</si>
  <si>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</si>
  <si>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</si>
  <si>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</si>
  <si>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</si>
  <si>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</si>
  <si>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</si>
  <si>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</si>
  <si>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</si>
  <si>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</si>
  <si>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</si>
  <si>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</si>
  <si>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</si>
  <si>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</si>
  <si>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</si>
  <si>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</si>
  <si>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</si>
  <si>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</si>
  <si>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</si>
  <si>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</si>
  <si>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</si>
  <si>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</si>
  <si>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</si>
  <si>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</si>
  <si>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</si>
  <si>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</si>
  <si>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</si>
  <si>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</si>
  <si>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</si>
  <si>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</si>
  <si>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</si>
  <si>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</si>
  <si>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</si>
  <si>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</si>
  <si>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</si>
  <si>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</si>
  <si>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</si>
  <si>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</si>
  <si>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</si>
  <si>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</si>
  <si>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</si>
  <si>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</si>
  <si>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</si>
  <si>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</si>
  <si>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</si>
  <si>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</si>
  <si>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</si>
  <si>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</si>
  <si>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</si>
  <si>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</si>
  <si>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</si>
  <si>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</si>
  <si>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</si>
  <si>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</si>
  <si>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</si>
  <si>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</si>
  <si>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</si>
  <si>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</si>
  <si>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</si>
  <si>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</si>
  <si>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</si>
  <si>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</si>
  <si>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</si>
  <si>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</si>
  <si>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</si>
  <si>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</si>
  <si>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</si>
  <si>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</si>
  <si>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</si>
  <si>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</si>
  <si>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</si>
  <si>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</si>
  <si>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</si>
  <si>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</si>
  <si>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</si>
  <si>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</si>
  <si>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</si>
  <si>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</si>
  <si>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</si>
  <si>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</si>
  <si>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</si>
  <si>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</si>
  <si>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</si>
  <si>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</si>
  <si>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</si>
  <si>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</si>
  <si>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</si>
  <si>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</si>
  <si>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</si>
  <si>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</si>
  <si>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</si>
  <si>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</si>
  <si>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</si>
  <si>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</si>
  <si>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</si>
  <si>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</si>
  <si>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</si>
  <si>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</si>
  <si>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</si>
  <si>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</si>
  <si>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</si>
  <si>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</si>
  <si>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</si>
  <si>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</si>
  <si>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</si>
  <si>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</si>
  <si>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</si>
  <si>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</si>
  <si>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</si>
  <si>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</si>
  <si>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</si>
  <si>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</si>
  <si>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</si>
  <si>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</si>
  <si>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</si>
  <si>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</si>
  <si>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</si>
  <si>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</si>
  <si>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</si>
  <si>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</si>
  <si>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</si>
  <si>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</si>
  <si>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</si>
  <si>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</si>
  <si>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</si>
  <si>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</si>
  <si>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</si>
  <si>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</si>
  <si>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</si>
  <si>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</si>
  <si>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</si>
  <si>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</si>
  <si>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</si>
  <si>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</si>
  <si>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</si>
  <si>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</si>
  <si>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</si>
  <si>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</si>
  <si>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</si>
  <si>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</si>
  <si>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</si>
  <si>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</si>
  <si>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</si>
  <si>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</si>
  <si>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</si>
  <si>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</si>
  <si>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</si>
  <si>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</si>
  <si>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</si>
  <si>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</si>
  <si>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</si>
  <si>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</si>
  <si>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</si>
  <si>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</si>
  <si>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</si>
  <si>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</si>
  <si>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</si>
  <si>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</si>
  <si>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</si>
  <si>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</si>
  <si>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</si>
  <si>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</si>
  <si>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</si>
  <si>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</si>
  <si>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</si>
  <si>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</si>
  <si>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</si>
  <si>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</si>
  <si>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</si>
  <si>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</si>
  <si>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</si>
  <si>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</si>
  <si>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</si>
  <si>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</si>
  <si>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</si>
  <si>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</si>
  <si>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</si>
  <si>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</si>
  <si>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</si>
  <si>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</si>
  <si>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</si>
  <si>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</si>
  <si>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</si>
  <si>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</si>
  <si>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</si>
  <si>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</si>
  <si>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</si>
  <si>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</si>
  <si>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</si>
  <si>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</si>
  <si>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</si>
  <si>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</si>
  <si>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</si>
  <si>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</si>
  <si>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</si>
  <si>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</si>
  <si>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</si>
  <si>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</si>
  <si>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</si>
  <si>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</si>
  <si>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</si>
  <si>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</si>
  <si>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</si>
  <si>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</si>
  <si>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</si>
  <si>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</si>
  <si>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</si>
  <si>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</si>
  <si>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</si>
  <si>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</si>
  <si>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</si>
  <si>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</si>
  <si>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</si>
  <si>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</si>
  <si>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</si>
  <si>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</si>
  <si>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</si>
  <si>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</si>
  <si>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</si>
  <si>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</si>
  <si>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</si>
  <si>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</si>
  <si>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</si>
  <si>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</si>
  <si>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</si>
  <si>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</si>
  <si>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</si>
  <si>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</si>
  <si>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</si>
  <si>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</si>
  <si>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</si>
  <si>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</si>
  <si>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</si>
  <si>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</si>
  <si>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</si>
  <si>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</si>
  <si>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</si>
  <si>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</si>
  <si>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</si>
  <si>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</si>
  <si>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</si>
  <si>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</si>
  <si>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</si>
  <si>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</si>
  <si>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</si>
  <si>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</si>
  <si>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</si>
  <si>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</si>
  <si>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</si>
  <si>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</si>
  <si>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</si>
  <si>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</si>
  <si>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</si>
  <si>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</si>
  <si>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</si>
  <si>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</si>
  <si>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</si>
  <si>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</si>
  <si>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</si>
  <si>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</si>
  <si>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</si>
  <si>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</si>
  <si>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</si>
  <si>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</si>
  <si>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</si>
  <si>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</si>
  <si>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</si>
  <si>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</si>
  <si>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</si>
  <si>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</si>
  <si>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</si>
  <si>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</si>
  <si>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</si>
  <si>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</si>
  <si>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</si>
  <si>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</si>
  <si>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</si>
  <si>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</si>
  <si>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</si>
  <si>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</si>
  <si>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</si>
  <si>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</si>
  <si>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</si>
  <si>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</si>
  <si>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</si>
  <si>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</si>
  <si>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</si>
  <si>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</si>
  <si>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</si>
  <si>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</si>
  <si>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</si>
  <si>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</si>
  <si>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</si>
  <si>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</si>
  <si>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</si>
  <si>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</si>
  <si>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</si>
  <si>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</si>
  <si>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</si>
  <si>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</si>
  <si>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</si>
  <si>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</si>
  <si>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</si>
  <si>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</si>
  <si>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</si>
  <si>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</si>
  <si>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</si>
  <si>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</si>
  <si>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</si>
  <si>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</si>
  <si>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</si>
  <si>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</si>
  <si>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</si>
  <si>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</si>
  <si>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</si>
  <si>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</si>
  <si>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</si>
  <si>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</si>
  <si>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</si>
  <si>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</si>
  <si>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</si>
  <si>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</si>
  <si>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</si>
  <si>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</si>
  <si>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</si>
  <si>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</si>
  <si>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</si>
  <si>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</si>
  <si>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</si>
  <si>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</si>
  <si>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</si>
  <si>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</si>
  <si>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</si>
  <si>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</si>
  <si>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</si>
  <si>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</si>
  <si>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</si>
  <si>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</si>
  <si>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</si>
  <si>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</si>
  <si>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</si>
  <si>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</si>
  <si>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</si>
  <si>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</si>
  <si>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</si>
  <si>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</si>
  <si>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</si>
  <si>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</si>
  <si>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</si>
  <si>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</si>
  <si>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</si>
  <si>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</si>
  <si>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</si>
  <si>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</si>
  <si>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</si>
  <si>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</si>
  <si>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</si>
  <si>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</si>
  <si>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</si>
  <si>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</si>
  <si>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</si>
  <si>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</si>
  <si>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</si>
  <si>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</si>
  <si>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</si>
  <si>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</si>
  <si>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</si>
  <si>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</si>
  <si>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</si>
  <si>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</si>
  <si>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</si>
  <si>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</si>
  <si>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</si>
  <si>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</si>
  <si>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</si>
  <si>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</si>
  <si>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</si>
  <si>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</si>
  <si>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</si>
  <si>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</si>
  <si>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</si>
  <si>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</si>
  <si>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</si>
  <si>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</si>
  <si>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</si>
  <si>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</si>
  <si>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</si>
  <si>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</si>
  <si>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</si>
  <si>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</si>
  <si>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</si>
  <si>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</si>
  <si>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</si>
  <si>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</si>
  <si>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</si>
  <si>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</si>
  <si>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</si>
  <si>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</si>
  <si>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</si>
  <si>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</si>
  <si>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</si>
  <si>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</si>
  <si>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</si>
  <si>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</si>
  <si>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</si>
  <si>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</si>
  <si>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</si>
  <si>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</si>
  <si>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</si>
  <si>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</si>
  <si>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</si>
  <si>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</si>
  <si>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</si>
  <si>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</si>
  <si>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</si>
  <si>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</si>
  <si>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</si>
  <si>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</si>
  <si>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</si>
  <si>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</si>
  <si>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</si>
  <si>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</si>
  <si>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</si>
  <si>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</si>
  <si>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</si>
  <si>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</si>
  <si>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</si>
  <si>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</si>
  <si>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</si>
  <si>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</si>
  <si>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</si>
  <si>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</si>
  <si>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</si>
  <si>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</si>
  <si>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</si>
  <si>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</si>
  <si>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</si>
  <si>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</si>
  <si>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</si>
  <si>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</si>
  <si>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</si>
  <si>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</si>
  <si>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</si>
  <si>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</si>
  <si>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</si>
  <si>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</si>
  <si>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</si>
  <si>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</si>
  <si>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</si>
  <si>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</si>
  <si>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</si>
  <si>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</si>
  <si>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</si>
  <si>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</si>
  <si>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</si>
  <si>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</si>
  <si>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</si>
  <si>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</si>
  <si>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</si>
  <si>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</si>
  <si>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</si>
  <si>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</si>
  <si>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</si>
  <si>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</si>
  <si>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</si>
  <si>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</si>
  <si>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</si>
  <si>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</si>
  <si>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</si>
  <si>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</si>
  <si>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</si>
  <si>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</si>
  <si>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</si>
  <si>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</si>
  <si>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</si>
  <si>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</si>
  <si>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</si>
  <si>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</si>
  <si>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</si>
  <si>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</si>
  <si>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</si>
  <si>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</si>
  <si>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</si>
  <si>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</si>
  <si>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</si>
  <si>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</si>
  <si>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</si>
  <si>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</si>
  <si>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</si>
  <si>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</si>
  <si>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</si>
  <si>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</si>
  <si>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</si>
  <si>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</si>
  <si>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</si>
  <si>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</si>
  <si>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</si>
  <si>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</si>
  <si>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</si>
  <si>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</si>
  <si>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</si>
  <si>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</si>
  <si>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</si>
  <si>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</si>
  <si>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</si>
  <si>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</si>
  <si>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</si>
  <si>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</si>
  <si>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</si>
  <si>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</si>
  <si>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</si>
  <si>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</si>
  <si>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</si>
  <si>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</si>
  <si>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</si>
  <si>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</si>
  <si>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</si>
  <si>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</si>
  <si>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</si>
  <si>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</si>
  <si>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</si>
  <si>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</si>
  <si>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</si>
  <si>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</si>
  <si>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</si>
  <si>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</si>
  <si>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</si>
  <si>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</si>
  <si>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</si>
  <si>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</si>
  <si>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</si>
  <si>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</si>
  <si>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</si>
  <si>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</si>
  <si>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</si>
  <si>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</si>
  <si>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</si>
  <si>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</si>
  <si>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</si>
  <si>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</si>
  <si>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</si>
  <si>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</si>
  <si>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</si>
  <si>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</si>
  <si>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</si>
  <si>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</si>
  <si>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</si>
  <si>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</si>
  <si>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</si>
  <si>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</si>
  <si>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</si>
  <si>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</si>
  <si>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</si>
  <si>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</si>
  <si>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</si>
  <si>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</si>
  <si>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</si>
  <si>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</si>
  <si>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</si>
  <si>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</si>
  <si>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</si>
  <si>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</si>
  <si>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</si>
  <si>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</si>
  <si>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</si>
  <si>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</si>
  <si>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</si>
  <si>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</si>
  <si>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</si>
  <si>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</si>
  <si>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</si>
  <si>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</si>
  <si>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</si>
  <si>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</si>
  <si>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</si>
  <si>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</si>
  <si>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</si>
  <si>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</si>
  <si>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</si>
  <si>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</si>
  <si>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</si>
  <si>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</si>
  <si>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</si>
  <si>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</si>
  <si>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</si>
  <si>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</si>
  <si>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</si>
  <si>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</si>
  <si>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</si>
  <si>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</si>
  <si>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</si>
  <si>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</si>
  <si>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</si>
  <si>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</si>
  <si>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</si>
  <si>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</si>
  <si>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</si>
  <si>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</si>
  <si>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</si>
  <si>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</si>
  <si>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</si>
  <si>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</si>
  <si>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</si>
  <si>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</si>
  <si>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</si>
  <si>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</si>
  <si>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</si>
  <si>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</si>
  <si>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</si>
  <si>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</si>
  <si>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</si>
  <si>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</si>
  <si>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</si>
  <si>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</si>
  <si>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</si>
  <si>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</si>
  <si>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</si>
  <si>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</si>
  <si>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</si>
  <si>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</si>
  <si>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</si>
  <si>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</si>
  <si>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</si>
  <si>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</si>
  <si>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</si>
  <si>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</si>
  <si>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</si>
  <si>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</si>
  <si>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</si>
  <si>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</si>
  <si>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</si>
  <si>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</si>
  <si>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</si>
  <si>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</si>
  <si>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</si>
  <si>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</si>
  <si>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</si>
  <si>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</si>
  <si>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</si>
  <si>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</si>
  <si>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</si>
  <si>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</si>
  <si>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</si>
  <si>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</si>
  <si>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</si>
  <si>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</si>
  <si>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</si>
  <si>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</si>
  <si>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</si>
  <si>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</si>
  <si>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</si>
  <si>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</si>
  <si>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</si>
  <si>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</si>
  <si>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</si>
  <si>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</si>
  <si>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</si>
  <si>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</si>
  <si>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</si>
  <si>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</si>
  <si>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</si>
  <si>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</si>
  <si>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</si>
  <si>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</si>
  <si>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</si>
  <si>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</si>
  <si>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</si>
  <si>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</si>
  <si>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</si>
  <si>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</si>
  <si>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</si>
  <si>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</si>
  <si>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</si>
  <si>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</si>
  <si>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</si>
  <si>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</si>
  <si>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</si>
  <si>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</si>
  <si>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</si>
  <si>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</si>
  <si>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</si>
  <si>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</si>
  <si>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</si>
  <si>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</si>
  <si>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</si>
  <si>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</si>
  <si>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</si>
  <si>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</si>
  <si>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</si>
  <si>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</si>
  <si>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</si>
  <si>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</si>
  <si>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</si>
  <si>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</si>
  <si>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</si>
  <si>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</si>
  <si>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</si>
  <si>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</si>
  <si>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</si>
  <si>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</si>
  <si>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</si>
  <si>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</si>
  <si>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</si>
  <si>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</si>
  <si>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</si>
  <si>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</si>
  <si>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</si>
  <si>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</si>
  <si>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</si>
  <si>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</si>
  <si>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</si>
  <si>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</si>
  <si>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</si>
  <si>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</si>
  <si>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</si>
  <si>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</si>
  <si>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</si>
  <si>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</si>
  <si>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</si>
  <si>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</si>
  <si>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</si>
  <si>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</si>
  <si>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</si>
  <si>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</si>
  <si>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</si>
  <si>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</si>
  <si>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</si>
  <si>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</si>
  <si>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</si>
  <si>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</si>
  <si>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</si>
  <si>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</si>
  <si>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</si>
  <si>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</si>
  <si>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</si>
  <si>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</si>
  <si>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</si>
  <si>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</si>
  <si>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</si>
  <si>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</si>
  <si>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</si>
  <si>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</si>
  <si>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</si>
  <si>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</si>
  <si>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</si>
  <si>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</si>
  <si>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</si>
  <si>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</si>
  <si>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</si>
  <si>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</si>
  <si>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</si>
  <si>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</si>
  <si>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</si>
  <si>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</si>
  <si>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</si>
  <si>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</si>
  <si>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</si>
  <si>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</si>
  <si>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</si>
  <si>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</si>
  <si>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</si>
  <si>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</si>
  <si>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</si>
  <si>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</si>
  <si>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</si>
  <si>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</si>
  <si>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</si>
  <si>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</si>
  <si>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</si>
  <si>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</si>
  <si>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</si>
  <si>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</si>
  <si>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</si>
  <si>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</si>
  <si>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</si>
  <si>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</si>
  <si>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</si>
  <si>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</si>
  <si>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</si>
  <si>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</si>
  <si>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</si>
  <si>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</si>
  <si>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</si>
  <si>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</si>
  <si>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</si>
  <si>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</si>
  <si>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</si>
  <si>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</si>
  <si>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</si>
  <si>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</si>
  <si>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</si>
  <si>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</si>
  <si>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</si>
  <si>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</si>
  <si>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</si>
  <si>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</si>
  <si>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</si>
  <si>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</si>
  <si>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</si>
  <si>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</si>
  <si>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</si>
  <si>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</si>
  <si>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</si>
  <si>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</si>
  <si>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</si>
  <si>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</si>
  <si>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</si>
  <si>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</si>
  <si>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</si>
  <si>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</si>
  <si>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</si>
  <si>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</si>
  <si>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</si>
  <si>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</si>
  <si>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</si>
  <si>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</si>
  <si>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</si>
  <si>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</si>
  <si>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</si>
  <si>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</si>
  <si>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</si>
  <si>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</si>
  <si>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</si>
  <si>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</si>
  <si>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</si>
  <si>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</si>
  <si>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</si>
  <si>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</si>
  <si>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</si>
  <si>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</si>
  <si>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</si>
  <si>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</si>
  <si>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</si>
  <si>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</si>
  <si>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</si>
  <si>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</si>
  <si>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</si>
  <si>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</si>
  <si>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</si>
  <si>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</si>
  <si>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</si>
  <si>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</si>
  <si>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</si>
  <si>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</si>
  <si>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</si>
  <si>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</si>
  <si>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</si>
  <si>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</si>
  <si>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</si>
  <si>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</si>
  <si>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</si>
  <si>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</si>
  <si>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</si>
  <si>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</si>
  <si>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</si>
  <si>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</si>
  <si>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</si>
  <si>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</si>
  <si>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</si>
  <si>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</si>
  <si>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</si>
  <si>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</si>
  <si>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</si>
  <si>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</si>
  <si>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</si>
  <si>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</si>
  <si>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</si>
  <si>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</si>
  <si>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</si>
  <si>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</si>
  <si>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</si>
  <si>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</si>
  <si>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</si>
  <si>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</si>
  <si>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</si>
  <si>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</si>
  <si>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</si>
  <si>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</si>
  <si>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</si>
  <si>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</si>
  <si>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</si>
  <si>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</si>
  <si>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</si>
  <si>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</si>
  <si>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</si>
  <si>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</si>
  <si>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</si>
  <si>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</si>
  <si>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</si>
  <si>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</si>
  <si>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</si>
  <si>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</si>
  <si>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</si>
  <si>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</si>
  <si>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</si>
  <si>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</si>
  <si>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</si>
  <si>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</si>
  <si>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</si>
  <si>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</si>
  <si>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</si>
  <si>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</si>
  <si>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</si>
  <si>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</si>
  <si>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</si>
  <si>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</si>
  <si>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</si>
  <si>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</si>
  <si>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</si>
  <si>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</si>
  <si>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</si>
  <si>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</si>
  <si>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</si>
  <si>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</si>
  <si>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</si>
  <si>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</si>
  <si>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</si>
  <si>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</si>
  <si>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</si>
  <si>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</si>
  <si>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</si>
  <si>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</si>
  <si>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</si>
  <si>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</si>
  <si>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</si>
  <si>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</si>
  <si>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</si>
  <si>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</si>
  <si>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</si>
  <si>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</si>
  <si>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</si>
  <si>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</si>
  <si>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</si>
  <si>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</si>
  <si>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</si>
  <si>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</si>
  <si>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</si>
  <si>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</si>
  <si>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</si>
  <si>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</si>
  <si>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</si>
  <si>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</si>
  <si>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</si>
  <si>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</si>
  <si>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</si>
  <si>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</si>
  <si>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</si>
  <si>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</si>
  <si>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</si>
  <si>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</si>
  <si>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</si>
  <si>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</si>
  <si>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</si>
  <si>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</si>
  <si>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</si>
  <si>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</si>
  <si>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</si>
  <si>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</si>
  <si>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</si>
  <si>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</si>
  <si>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</si>
  <si>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</si>
  <si>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</si>
  <si>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</si>
  <si>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</si>
  <si>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</si>
  <si>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</si>
  <si>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</si>
  <si>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</si>
  <si>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</si>
  <si>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</si>
  <si>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</si>
  <si>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</si>
  <si>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</si>
  <si>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</si>
  <si>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</si>
  <si>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</si>
  <si>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</si>
  <si>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</si>
  <si>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</si>
  <si>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</si>
  <si>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</si>
  <si>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</si>
  <si>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</si>
  <si>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</si>
  <si>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</si>
  <si>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</si>
  <si>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</si>
  <si>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</si>
  <si>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</si>
  <si>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</si>
  <si>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</si>
  <si>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</si>
  <si>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</si>
  <si>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</si>
  <si>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</si>
  <si>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</si>
  <si>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</si>
  <si>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</si>
  <si>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</si>
  <si>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</si>
  <si>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</si>
  <si>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</si>
  <si>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</si>
  <si>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</si>
  <si>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</si>
  <si>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</si>
  <si>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</si>
  <si>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</si>
  <si>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</si>
  <si>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</si>
  <si>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</si>
  <si>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</si>
  <si>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</si>
  <si>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</si>
  <si>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</si>
  <si>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</si>
  <si>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</si>
  <si>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</si>
  <si>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</si>
  <si>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</si>
  <si>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</si>
  <si>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</si>
  <si>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</si>
  <si>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</si>
  <si>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</si>
  <si>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</si>
  <si>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</si>
  <si>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</si>
  <si>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</si>
  <si>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</si>
  <si>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</si>
  <si>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</si>
  <si>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</si>
  <si>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</si>
  <si>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</si>
  <si>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</si>
  <si>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</si>
  <si>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</si>
  <si>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</si>
  <si>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</si>
  <si>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</si>
  <si>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</si>
  <si>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</si>
  <si>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</si>
  <si>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</si>
  <si>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</si>
  <si>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</si>
  <si>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</si>
  <si>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</si>
  <si>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</si>
  <si>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</si>
  <si>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</si>
  <si>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</si>
  <si>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</si>
  <si>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</si>
  <si>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</si>
  <si>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</si>
  <si>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</si>
  <si>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</si>
  <si>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</si>
  <si>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</si>
  <si>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</si>
  <si>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</si>
  <si>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</si>
  <si>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</si>
  <si>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</si>
  <si>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</si>
  <si>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</si>
  <si>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</si>
  <si>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</si>
  <si>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</si>
  <si>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</si>
  <si>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</si>
  <si>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</si>
  <si>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</si>
  <si>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</si>
  <si>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</si>
  <si>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</si>
  <si>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</si>
  <si>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</si>
  <si>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</si>
  <si>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</si>
  <si>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</si>
  <si>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</si>
  <si>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</si>
  <si>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</si>
  <si>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</si>
  <si>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</si>
  <si>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</si>
  <si>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</si>
  <si>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</si>
  <si>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</si>
  <si>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</si>
  <si>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</si>
  <si>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</si>
  <si>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</si>
  <si>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</si>
  <si>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</si>
  <si>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</si>
  <si>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</si>
  <si>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</si>
  <si>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</si>
  <si>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</si>
  <si>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</si>
  <si>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</si>
  <si>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</si>
  <si>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</si>
  <si>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</si>
  <si>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</si>
  <si>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</si>
  <si>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</si>
  <si>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</si>
  <si>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</si>
  <si>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</si>
  <si>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</si>
  <si>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</si>
  <si>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</si>
  <si>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</si>
  <si>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</si>
  <si>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</si>
  <si>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</si>
  <si>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</si>
  <si>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</si>
  <si>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</si>
  <si>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</si>
  <si>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</si>
  <si>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</si>
  <si>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</si>
  <si>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</si>
  <si>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</si>
  <si>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</si>
  <si>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</si>
  <si>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</si>
  <si>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</si>
  <si>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</si>
  <si>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</si>
  <si>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</si>
  <si>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</si>
  <si>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</si>
  <si>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</si>
  <si>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</si>
  <si>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</si>
  <si>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</si>
  <si>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</si>
  <si>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</si>
  <si>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</si>
  <si>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</si>
  <si>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</si>
  <si>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</si>
  <si>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</si>
  <si>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</si>
  <si>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</si>
  <si>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</si>
  <si>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</si>
  <si>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</si>
  <si>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</si>
  <si>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</si>
  <si>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</si>
  <si>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</si>
  <si>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</si>
  <si>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</si>
  <si>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</si>
  <si>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</si>
  <si>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</si>
  <si>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</si>
  <si>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</si>
  <si>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</si>
  <si>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</si>
  <si>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</si>
  <si>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</si>
  <si>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</si>
  <si>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</si>
  <si>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</si>
  <si>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</si>
  <si>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</si>
  <si>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</si>
  <si>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</si>
  <si>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</si>
  <si>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</si>
  <si>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</si>
  <si>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</si>
  <si>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</si>
  <si>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</si>
  <si>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</si>
  <si>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</si>
  <si>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</si>
  <si>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</si>
  <si>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</si>
  <si>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</si>
  <si>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</si>
  <si>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</si>
  <si>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</si>
  <si>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</si>
  <si>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</si>
  <si>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</si>
  <si>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</si>
  <si>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</si>
  <si>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</si>
  <si>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</si>
  <si>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</si>
  <si>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</si>
  <si>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</si>
  <si>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</si>
  <si>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</si>
  <si>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</si>
  <si>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</si>
  <si>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</si>
  <si>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</si>
  <si>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</si>
  <si>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</si>
  <si>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</si>
  <si>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</si>
  <si>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</si>
  <si>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</si>
  <si>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</si>
  <si>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</si>
  <si>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</si>
  <si>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</si>
  <si>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</si>
  <si>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</si>
  <si>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</si>
  <si>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</si>
  <si>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</si>
  <si>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</si>
  <si>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</si>
  <si>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</si>
  <si>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</si>
  <si>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</si>
  <si>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</si>
  <si>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</si>
  <si>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</si>
  <si>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</si>
  <si>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</si>
  <si>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</si>
  <si>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</si>
  <si>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</si>
  <si>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</si>
  <si>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</si>
  <si>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</si>
  <si>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</si>
  <si>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</si>
  <si>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</si>
  <si>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</si>
  <si>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</si>
  <si>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</si>
  <si>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</si>
  <si>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</si>
  <si>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</si>
  <si>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</si>
  <si>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</si>
  <si>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</si>
  <si>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</si>
  <si>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</si>
  <si>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</si>
  <si>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</si>
  <si>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</si>
  <si>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</si>
  <si>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</si>
  <si>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</si>
  <si>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</si>
  <si>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</si>
  <si>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</si>
  <si>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</si>
  <si>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</si>
  <si>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</si>
  <si>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</si>
  <si>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</si>
  <si>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</si>
  <si>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</si>
  <si>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</si>
  <si>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</si>
  <si>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</si>
  <si>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</si>
  <si>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</si>
  <si>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</si>
  <si>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</si>
  <si>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</si>
  <si>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</si>
  <si>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</si>
  <si>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</si>
  <si>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</si>
  <si>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</si>
  <si>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</si>
  <si>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</si>
  <si>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</si>
  <si>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</si>
  <si>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</si>
  <si>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</si>
  <si>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</si>
  <si>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</si>
  <si>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</si>
  <si>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</si>
  <si>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</si>
  <si>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</si>
  <si>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</si>
  <si>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</si>
  <si>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</si>
  <si>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</si>
  <si>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</si>
  <si>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</si>
  <si>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</si>
  <si>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</si>
  <si>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</si>
  <si>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</si>
  <si>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</si>
  <si>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</si>
  <si>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</si>
  <si>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</si>
  <si>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</si>
  <si>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</si>
  <si>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</si>
  <si>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</si>
  <si>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</si>
  <si>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</si>
  <si>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</si>
  <si>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</si>
  <si>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</si>
  <si>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</si>
  <si>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</si>
  <si>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</si>
  <si>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</si>
  <si>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</si>
  <si>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</si>
  <si>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</si>
  <si>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</si>
  <si>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</si>
  <si>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</si>
  <si>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</si>
  <si>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</si>
  <si>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</si>
  <si>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</si>
  <si>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</si>
  <si>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</si>
  <si>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</si>
  <si>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</si>
  <si>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</si>
  <si>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</si>
  <si>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</si>
  <si>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</si>
  <si>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</si>
  <si>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</si>
  <si>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</si>
  <si>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</si>
  <si>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</si>
  <si>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</si>
  <si>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</si>
  <si>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</si>
  <si>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</si>
  <si>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</si>
  <si>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</si>
  <si>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</si>
  <si>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</si>
  <si>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</si>
  <si>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</si>
  <si>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</si>
  <si>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</si>
  <si>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</si>
  <si>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</si>
  <si>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</si>
  <si>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</si>
  <si>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</si>
  <si>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</si>
  <si>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</si>
  <si>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</si>
  <si>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</si>
  <si>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</si>
  <si>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</si>
  <si>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</si>
  <si>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</si>
  <si>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</si>
  <si>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</si>
  <si>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</si>
  <si>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</si>
  <si>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</si>
  <si>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</si>
  <si>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</si>
  <si>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</si>
  <si>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</si>
  <si>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</si>
  <si>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</si>
  <si>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</si>
  <si>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</si>
  <si>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</si>
  <si>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</si>
  <si>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</si>
  <si>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</si>
  <si>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</si>
  <si>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</si>
  <si>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</si>
  <si>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</si>
  <si>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</si>
  <si>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</si>
  <si>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</si>
  <si>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</si>
  <si>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</si>
  <si>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</si>
  <si>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</si>
  <si>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</si>
  <si>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</si>
  <si>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</si>
  <si>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</si>
  <si>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</si>
  <si>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</si>
  <si>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</si>
  <si>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</si>
  <si>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</si>
  <si>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</si>
  <si>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</si>
  <si>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</si>
  <si>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</si>
  <si>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</si>
  <si>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</si>
  <si>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</si>
  <si>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</si>
  <si>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</si>
  <si>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</si>
  <si>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</si>
  <si>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</si>
  <si>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</si>
  <si>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</si>
  <si>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</si>
  <si>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</si>
  <si>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</si>
  <si>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</si>
  <si>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</si>
  <si>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</si>
  <si>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</si>
  <si>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</si>
  <si>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</si>
  <si>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</si>
  <si>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</si>
  <si>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</si>
  <si>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</si>
  <si>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</si>
  <si>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</si>
  <si>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</si>
  <si>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</si>
  <si>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</si>
  <si>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</si>
  <si>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</si>
  <si>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</si>
  <si>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</si>
  <si>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</si>
  <si>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</si>
  <si>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</si>
  <si>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</si>
  <si>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</si>
  <si>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</si>
  <si>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</si>
  <si>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</si>
  <si>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</si>
  <si>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</si>
  <si>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</si>
  <si>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</si>
  <si>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</si>
  <si>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</si>
  <si>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</si>
  <si>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</si>
  <si>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</si>
  <si>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</si>
  <si>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</si>
  <si>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</si>
  <si>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</si>
  <si>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</si>
  <si>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</si>
  <si>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</si>
  <si>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</si>
  <si>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</si>
  <si>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</si>
  <si>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</si>
  <si>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</si>
  <si>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</si>
  <si>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</si>
  <si>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</si>
  <si>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</si>
  <si>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</si>
  <si>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</si>
  <si>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</si>
  <si>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</si>
  <si>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</si>
  <si>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</si>
  <si>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</si>
  <si>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</si>
  <si>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</si>
  <si>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</si>
  <si>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</si>
  <si>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</si>
  <si>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</si>
  <si>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</si>
  <si>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</si>
  <si>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</si>
  <si>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</si>
  <si>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</si>
  <si>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</si>
  <si>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</si>
  <si>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</si>
  <si>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</si>
  <si>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</si>
  <si>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</si>
  <si>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</si>
  <si>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</si>
  <si>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</si>
  <si>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</si>
  <si>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</si>
  <si>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</si>
  <si>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</si>
  <si>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</si>
  <si>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</si>
  <si>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</si>
  <si>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</si>
  <si>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</si>
  <si>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</si>
  <si>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</si>
  <si>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</si>
  <si>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</si>
  <si>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</si>
  <si>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</si>
  <si>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</si>
  <si>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</si>
  <si>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</si>
  <si>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</si>
  <si>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</si>
  <si>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</si>
  <si>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</si>
  <si>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</si>
  <si>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</si>
  <si>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</si>
  <si>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</si>
  <si>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</si>
  <si>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</si>
  <si>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</si>
  <si>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</si>
  <si>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</si>
  <si>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</si>
  <si>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</si>
  <si>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</si>
  <si>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</si>
  <si>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</si>
  <si>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</si>
  <si>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</si>
  <si>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</si>
  <si>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</si>
  <si>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</si>
  <si>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</si>
  <si>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</si>
  <si>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</si>
  <si>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</si>
  <si>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</si>
  <si>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</si>
  <si>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</si>
  <si>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</si>
  <si>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</si>
  <si>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</si>
  <si>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</si>
  <si>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</si>
  <si>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</si>
  <si>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</si>
  <si>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</si>
  <si>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</si>
  <si>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</si>
  <si>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</si>
  <si>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</si>
  <si>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</si>
  <si>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</si>
  <si>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</si>
  <si>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</si>
  <si>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</si>
  <si>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</si>
  <si>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</si>
  <si>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</si>
  <si>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</si>
  <si>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</si>
  <si>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</si>
  <si>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</si>
  <si>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</si>
  <si>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</si>
  <si>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</si>
  <si>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</si>
  <si>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</si>
  <si>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</si>
  <si>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</si>
  <si>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</si>
  <si>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</si>
  <si>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</si>
  <si>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</si>
  <si>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</si>
  <si>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</si>
  <si>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</si>
  <si>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</si>
  <si>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</si>
  <si>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</si>
  <si>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</si>
  <si>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</si>
  <si>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</si>
  <si>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</si>
  <si>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</si>
  <si>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</si>
  <si>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</si>
  <si>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</si>
  <si>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</si>
  <si>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</si>
  <si>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</si>
  <si>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</si>
  <si>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</si>
  <si>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</si>
  <si>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</si>
  <si>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</si>
  <si>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</si>
  <si>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</si>
  <si>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</si>
  <si>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</si>
  <si>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</si>
  <si>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</si>
  <si>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</si>
  <si>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</si>
  <si>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</si>
  <si>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</si>
  <si>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</si>
  <si>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</si>
  <si>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</si>
  <si>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</si>
  <si>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</si>
  <si>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</si>
  <si>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</si>
  <si>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</si>
  <si>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</si>
  <si>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</si>
  <si>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</si>
  <si>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</si>
  <si>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</si>
  <si>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</si>
  <si>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</si>
  <si>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</si>
  <si>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</si>
  <si>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</si>
  <si>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</si>
  <si>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</si>
  <si>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</si>
  <si>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</si>
  <si>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</si>
  <si>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</si>
  <si>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</si>
  <si>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</si>
  <si>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</si>
  <si>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</si>
  <si>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</si>
  <si>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</si>
  <si>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</si>
  <si>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</si>
  <si>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</si>
  <si>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</si>
  <si>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</si>
  <si>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</si>
  <si>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</si>
  <si>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</si>
  <si>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</si>
  <si>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</si>
  <si>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</si>
  <si>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</si>
  <si>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</si>
  <si>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</si>
  <si>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</si>
  <si>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</si>
  <si>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</si>
  <si>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</si>
  <si>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</si>
  <si>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</si>
  <si>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</si>
  <si>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</si>
  <si>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</si>
  <si>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</si>
  <si>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</si>
  <si>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</si>
  <si>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</si>
  <si>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</si>
  <si>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</si>
  <si>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</si>
  <si>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</si>
  <si>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</si>
  <si>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</si>
  <si>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</si>
  <si>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</si>
  <si>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</si>
  <si>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</si>
  <si>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</si>
  <si>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</si>
  <si>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</si>
  <si>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</si>
  <si>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</si>
  <si>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</si>
  <si>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</si>
  <si>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</si>
  <si>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</si>
  <si>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</si>
  <si>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</si>
  <si>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</si>
  <si>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</si>
  <si>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</si>
  <si>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</si>
  <si>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</si>
  <si>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</si>
  <si>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</si>
  <si>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</si>
  <si>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</si>
  <si>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</si>
  <si>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</si>
  <si>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</si>
  <si>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</si>
  <si>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</si>
  <si>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</si>
  <si>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</si>
  <si>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</si>
  <si>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</si>
  <si>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</si>
  <si>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</si>
  <si>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</si>
  <si>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</si>
  <si>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</si>
  <si>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</si>
  <si>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</si>
  <si>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</si>
  <si>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</si>
  <si>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</si>
  <si>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</si>
  <si>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</si>
  <si>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</si>
  <si>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</si>
  <si>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</si>
  <si>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</si>
  <si>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</si>
  <si>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</si>
  <si>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</si>
  <si>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</si>
  <si>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</si>
  <si>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</si>
  <si>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</si>
  <si>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</si>
  <si>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</si>
  <si>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</si>
  <si>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</si>
  <si>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</si>
  <si>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</si>
  <si>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</si>
  <si>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</si>
  <si>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</si>
  <si>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</si>
  <si>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</si>
  <si>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</si>
  <si>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</si>
  <si>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</si>
  <si>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</si>
  <si>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</si>
  <si>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</si>
  <si>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</si>
  <si>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</si>
  <si>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</si>
  <si>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</si>
  <si>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</si>
  <si>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</si>
  <si>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</si>
  <si>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</si>
  <si>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</si>
  <si>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</si>
  <si>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</si>
  <si>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</si>
  <si>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</si>
  <si>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</si>
  <si>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</si>
  <si>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</si>
  <si>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</si>
  <si>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</si>
  <si>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</si>
  <si>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</si>
  <si>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</si>
  <si>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</si>
  <si>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</si>
  <si>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</si>
  <si>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</si>
  <si>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</si>
  <si>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</si>
  <si>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</si>
  <si>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</si>
  <si>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</si>
  <si>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</si>
  <si>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</si>
  <si>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</si>
  <si>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</si>
  <si>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</si>
  <si>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</si>
  <si>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</si>
  <si>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</si>
  <si>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</si>
  <si>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</si>
  <si>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</si>
  <si>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</si>
  <si>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</si>
  <si>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</si>
  <si>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</si>
  <si>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</si>
  <si>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</si>
  <si>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</si>
  <si>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</si>
  <si>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</si>
  <si>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</si>
  <si>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</si>
  <si>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</si>
  <si>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</si>
  <si>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</si>
  <si>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</si>
  <si>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</si>
  <si>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</si>
  <si>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</si>
  <si>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</si>
  <si>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</si>
  <si>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</si>
  <si>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</si>
  <si>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</si>
  <si>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</si>
  <si>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</si>
  <si>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</si>
  <si>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</si>
  <si>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</si>
  <si>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</si>
  <si>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</si>
  <si>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</si>
  <si>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</si>
  <si>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</si>
  <si>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</si>
  <si>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</si>
  <si>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</si>
  <si>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</si>
  <si>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</si>
  <si>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</si>
  <si>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</si>
  <si>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</si>
  <si>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</si>
  <si>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</si>
  <si>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</si>
  <si>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</si>
  <si>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</si>
  <si>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</si>
  <si>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</si>
  <si>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</si>
  <si>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</si>
  <si>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</si>
  <si>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</si>
  <si>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</si>
  <si>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</si>
  <si>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</si>
  <si>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</si>
  <si>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</si>
  <si>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</si>
  <si>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</si>
  <si>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</si>
  <si>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</si>
  <si>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</si>
  <si>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</si>
  <si>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</si>
  <si>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</si>
  <si>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</si>
  <si>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</si>
  <si>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</si>
  <si>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</si>
  <si>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</si>
  <si>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</si>
  <si>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</si>
  <si>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</si>
  <si>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</si>
  <si>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</si>
  <si>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</si>
  <si>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</si>
  <si>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</si>
  <si>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</si>
  <si>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</si>
  <si>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</si>
  <si>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</si>
  <si>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</si>
  <si>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</si>
  <si>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</si>
  <si>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</si>
  <si>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</si>
  <si>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</si>
  <si>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</si>
  <si>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</si>
  <si>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</si>
  <si>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</si>
  <si>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</si>
  <si>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</si>
  <si>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</si>
  <si>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</si>
  <si>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</si>
  <si>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</si>
  <si>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</si>
  <si>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</si>
  <si>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</si>
  <si>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</si>
  <si>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</si>
  <si>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</si>
  <si>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</si>
  <si>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</si>
  <si>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</si>
  <si>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</si>
  <si>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</si>
  <si>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</si>
  <si>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</si>
  <si>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</si>
  <si>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</si>
  <si>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</si>
  <si>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</si>
  <si>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</si>
  <si>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</si>
  <si>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</si>
  <si>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</si>
  <si>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</si>
  <si>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</si>
  <si>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</si>
  <si>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</si>
  <si>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</si>
  <si>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</si>
  <si>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</si>
  <si>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</si>
  <si>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</si>
  <si>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</si>
  <si>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</si>
  <si>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</si>
  <si>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</si>
  <si>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</si>
  <si>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</si>
  <si>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</si>
  <si>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</si>
  <si>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</si>
  <si>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</si>
  <si>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</si>
  <si>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</si>
  <si>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</si>
  <si>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</si>
  <si>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</si>
  <si>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</si>
  <si>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</si>
  <si>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</si>
  <si>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</si>
  <si>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</si>
  <si>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</si>
  <si>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</si>
  <si>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</si>
  <si>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</si>
  <si>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</si>
  <si>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</si>
  <si>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</si>
  <si>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</si>
  <si>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</si>
  <si>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</si>
  <si>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</si>
  <si>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</si>
  <si>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</si>
  <si>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</si>
  <si>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</si>
  <si>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</si>
  <si>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</si>
  <si>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</si>
  <si>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</si>
  <si>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</si>
  <si>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</si>
  <si>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</si>
  <si>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</si>
  <si>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</si>
  <si>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</si>
  <si>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</si>
  <si>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</si>
  <si>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</si>
  <si>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</si>
  <si>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</si>
  <si>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</si>
  <si>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</si>
  <si>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</si>
  <si>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</si>
  <si>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</si>
  <si>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</si>
  <si>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</si>
  <si>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</si>
  <si>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</si>
  <si>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</si>
  <si>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</si>
  <si>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</si>
  <si>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</si>
  <si>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</si>
  <si>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</si>
  <si>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</si>
  <si>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</si>
  <si>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</si>
  <si>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</si>
  <si>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</si>
  <si>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</si>
  <si>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</si>
  <si>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</si>
  <si>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</si>
  <si>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</si>
  <si>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</si>
  <si>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</si>
  <si>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</si>
  <si>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</si>
  <si>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</si>
  <si>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</si>
  <si>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</si>
  <si>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</si>
  <si>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</si>
  <si>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</si>
  <si>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</si>
  <si>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</si>
  <si>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</si>
  <si>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</si>
  <si>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</si>
  <si>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</si>
  <si>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</si>
  <si>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</si>
  <si>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</si>
  <si>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</si>
  <si>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</si>
  <si>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</si>
  <si>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</si>
  <si>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</si>
  <si>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</si>
  <si>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</si>
  <si>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</si>
  <si>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</si>
  <si>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</si>
  <si>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</si>
  <si>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</si>
  <si>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</si>
  <si>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</si>
  <si>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</si>
  <si>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</si>
  <si>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</si>
  <si>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</si>
  <si>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</si>
  <si>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</si>
  <si>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</si>
  <si>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</si>
  <si>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</si>
  <si>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</si>
  <si>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</si>
  <si>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</si>
  <si>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</si>
  <si>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</si>
  <si>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</si>
  <si>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</si>
  <si>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</si>
  <si>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</si>
  <si>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</si>
  <si>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</si>
  <si>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</si>
  <si>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</si>
  <si>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</si>
  <si>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</si>
  <si>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</si>
  <si>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</si>
  <si>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</si>
  <si>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</si>
  <si>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</si>
  <si>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</si>
  <si>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</si>
  <si>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</si>
  <si>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</si>
  <si>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</si>
  <si>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</si>
  <si>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</si>
  <si>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</si>
  <si>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</si>
  <si>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</si>
  <si>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</si>
  <si>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</si>
  <si>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</si>
  <si>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</si>
  <si>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</si>
  <si>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</si>
  <si>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</si>
  <si>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</si>
  <si>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</si>
  <si>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</si>
  <si>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</si>
  <si>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</si>
  <si>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</si>
  <si>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</si>
  <si>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</si>
  <si>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</si>
  <si>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</si>
  <si>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</si>
  <si>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</si>
  <si>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</si>
  <si>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</si>
  <si>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</si>
  <si>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</si>
  <si>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</si>
  <si>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</si>
  <si>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</si>
  <si>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</si>
  <si>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</si>
  <si>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</si>
  <si>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</si>
  <si>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</si>
  <si>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</si>
  <si>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</si>
  <si>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</si>
  <si>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</si>
  <si>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</si>
  <si>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</si>
  <si>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</si>
  <si>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</si>
  <si>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</si>
  <si>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</si>
  <si>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</si>
  <si>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</si>
  <si>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</si>
  <si>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</si>
  <si>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</si>
  <si>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</si>
  <si>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</si>
  <si>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</si>
  <si>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</si>
  <si>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</si>
  <si>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</si>
  <si>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</si>
  <si>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</si>
  <si>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</si>
  <si>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</si>
  <si>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</si>
  <si>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</si>
  <si>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</si>
  <si>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</si>
  <si>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</si>
  <si>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</si>
  <si>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</si>
  <si>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</si>
  <si>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</si>
  <si>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</si>
  <si>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</si>
  <si>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</si>
  <si>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</si>
  <si>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</si>
  <si>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</si>
  <si>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</si>
  <si>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</si>
  <si>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</si>
  <si>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</si>
  <si>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</si>
  <si>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</si>
  <si>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</si>
  <si>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</si>
  <si>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</si>
  <si>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</si>
  <si>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</si>
  <si>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</si>
  <si>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</si>
  <si>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</si>
  <si>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</si>
  <si>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</si>
  <si>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</si>
  <si>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</si>
  <si>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</si>
  <si>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</si>
  <si>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</si>
  <si>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</si>
  <si>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</si>
  <si>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</si>
  <si>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</si>
  <si>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</si>
  <si>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</si>
  <si>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</si>
  <si>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</si>
  <si>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</si>
  <si>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</si>
  <si>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</si>
  <si>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</si>
  <si>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</si>
  <si>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</si>
  <si>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</si>
  <si>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</si>
  <si>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</si>
  <si>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</si>
  <si>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</si>
  <si>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</si>
  <si>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</si>
  <si>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</si>
  <si>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</si>
  <si>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</si>
  <si>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</si>
  <si>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</si>
  <si>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</si>
  <si>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</si>
  <si>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</si>
  <si>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</si>
  <si>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</si>
  <si>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</si>
  <si>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</si>
  <si>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</si>
  <si>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</si>
  <si>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</si>
  <si>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</si>
  <si>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</si>
  <si>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</si>
  <si>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</si>
  <si>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</si>
  <si>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</si>
  <si>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</si>
  <si>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</si>
  <si>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</si>
  <si>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</si>
  <si>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</si>
  <si>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</si>
  <si>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</si>
  <si>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</si>
  <si>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</si>
  <si>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</si>
  <si>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</si>
  <si>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</si>
  <si>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</si>
  <si>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</si>
  <si>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</si>
  <si>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</si>
  <si>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</si>
  <si>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</si>
  <si>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</si>
  <si>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</si>
  <si>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</si>
  <si>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</si>
  <si>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</si>
  <si>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</si>
  <si>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</si>
  <si>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</si>
  <si>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</si>
  <si>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</si>
  <si>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</si>
  <si>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</si>
  <si>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</si>
  <si>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</si>
  <si>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</si>
  <si>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</si>
  <si>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</si>
  <si>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</si>
  <si>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</si>
  <si>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</si>
  <si>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</si>
  <si>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</si>
  <si>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</si>
  <si>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</si>
  <si>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</si>
  <si>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</si>
  <si>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</si>
  <si>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</si>
  <si>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</si>
  <si>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</si>
  <si>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</si>
  <si>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</si>
  <si>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</si>
  <si>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</si>
  <si>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</si>
  <si>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</si>
  <si>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</si>
  <si>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</si>
  <si>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</si>
  <si>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</si>
  <si>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</si>
  <si>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</si>
  <si>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</si>
  <si>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</si>
  <si>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</si>
  <si>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</si>
  <si>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</si>
  <si>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</si>
  <si>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</si>
  <si>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</si>
  <si>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</si>
  <si>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</si>
  <si>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</si>
  <si>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</si>
  <si>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</si>
  <si>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</si>
  <si>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</si>
  <si>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</si>
  <si>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</si>
  <si>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</si>
  <si>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</si>
  <si>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</si>
  <si>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</si>
  <si>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</si>
  <si>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</si>
  <si>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</si>
  <si>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</si>
  <si>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</si>
  <si>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</si>
  <si>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</si>
  <si>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</si>
  <si>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</si>
  <si>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</si>
  <si>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</si>
  <si>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</si>
  <si>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</si>
  <si>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</si>
  <si>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</si>
  <si>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</si>
  <si>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</si>
  <si>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</si>
  <si>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</si>
  <si>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</si>
  <si>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</si>
  <si>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</si>
  <si>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</si>
  <si>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</si>
  <si>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</si>
  <si>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</si>
  <si>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</si>
  <si>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</si>
  <si>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</si>
  <si>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</si>
  <si>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</si>
  <si>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</si>
  <si>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</si>
  <si>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</si>
  <si>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</si>
  <si>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</si>
  <si>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</si>
  <si>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</si>
  <si>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</si>
  <si>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</si>
  <si>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</si>
  <si>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</si>
  <si>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</si>
  <si>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</si>
  <si>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</si>
  <si>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</si>
  <si>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</si>
  <si>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</si>
  <si>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</si>
  <si>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</si>
  <si>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</si>
  <si>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</si>
  <si>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</si>
  <si>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</si>
  <si>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</si>
  <si>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</si>
  <si>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</si>
  <si>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</si>
  <si>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</si>
  <si>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</si>
  <si>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</si>
  <si>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</si>
  <si>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</si>
  <si>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</si>
  <si>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</si>
  <si>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</si>
  <si>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</si>
  <si>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</si>
  <si>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</si>
  <si>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</si>
  <si>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</si>
  <si>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</si>
  <si>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</si>
  <si>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</si>
  <si>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</si>
  <si>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</si>
  <si>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</si>
  <si>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</si>
  <si>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</si>
  <si>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</si>
  <si>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</si>
  <si>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</si>
  <si>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</si>
  <si>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</si>
  <si>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</si>
  <si>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</si>
  <si>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</si>
  <si>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</si>
  <si>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</si>
  <si>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</si>
  <si>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</si>
  <si>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</si>
  <si>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</si>
  <si>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</si>
  <si>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</si>
  <si>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</si>
  <si>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</si>
  <si>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</si>
  <si>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</si>
  <si>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</si>
  <si>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</si>
  <si>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</si>
  <si>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</si>
  <si>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</si>
  <si>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</si>
  <si>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</si>
  <si>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</si>
  <si>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</si>
  <si>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</si>
  <si>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</si>
  <si>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</si>
  <si>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</si>
  <si>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</si>
  <si>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</si>
  <si>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</si>
  <si>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</si>
  <si>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</si>
  <si>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</si>
  <si>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</si>
  <si>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</si>
  <si>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</si>
  <si>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</si>
  <si>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</si>
  <si>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</si>
  <si>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</si>
  <si>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</si>
  <si>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</si>
  <si>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</si>
  <si>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</si>
  <si>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</si>
  <si>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</si>
  <si>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</si>
  <si>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</si>
  <si>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</si>
  <si>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</si>
  <si>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</si>
  <si>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</si>
  <si>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</si>
  <si>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</si>
  <si>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</si>
  <si>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</si>
  <si>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</si>
  <si>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</si>
  <si>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</si>
  <si>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</si>
  <si>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</si>
  <si>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</si>
  <si>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</si>
  <si>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</si>
  <si>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</si>
  <si>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</si>
  <si>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</si>
  <si>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</si>
  <si>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</si>
  <si>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</si>
  <si>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</si>
  <si>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</si>
  <si>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</si>
  <si>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</si>
  <si>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</si>
  <si>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</si>
  <si>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</si>
  <si>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</si>
  <si>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</si>
  <si>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</si>
  <si>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</si>
  <si>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</si>
  <si>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</si>
  <si>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</si>
  <si>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</si>
  <si>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</si>
  <si>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</si>
  <si>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</si>
  <si>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</si>
  <si>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</si>
  <si>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</si>
  <si>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</si>
  <si>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</si>
  <si>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</si>
  <si>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</si>
  <si>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</si>
  <si>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</si>
  <si>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</si>
  <si>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</si>
  <si>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</si>
  <si>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</si>
  <si>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</si>
  <si>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</si>
  <si>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</si>
  <si>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</si>
  <si>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</si>
  <si>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</si>
  <si>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</si>
  <si>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</si>
  <si>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</si>
  <si>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</si>
  <si>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</si>
  <si>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</si>
  <si>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</si>
  <si>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</si>
  <si>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</si>
  <si>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</si>
  <si>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</si>
  <si>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</si>
  <si>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</si>
  <si>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</si>
  <si>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</si>
  <si>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</si>
  <si>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</si>
  <si>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</si>
  <si>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</si>
  <si>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</si>
  <si>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</si>
  <si>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</si>
  <si>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</si>
  <si>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</si>
  <si>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</si>
  <si>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</si>
  <si>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</si>
  <si>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</si>
  <si>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</si>
  <si>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</si>
  <si>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</si>
  <si>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</si>
  <si>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</si>
  <si>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</si>
  <si>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</si>
  <si>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</si>
  <si>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</si>
  <si>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</si>
  <si>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</si>
  <si>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</si>
  <si>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</si>
  <si>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</si>
  <si>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</si>
  <si>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</si>
  <si>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</si>
  <si>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</si>
  <si>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</si>
  <si>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</si>
  <si>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</si>
  <si>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</si>
  <si>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</si>
  <si>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</si>
  <si>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</si>
  <si>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</si>
  <si>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</si>
  <si>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</si>
  <si>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</si>
  <si>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</si>
  <si>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</si>
  <si>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</si>
  <si>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</si>
  <si>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</si>
  <si>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</si>
  <si>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</si>
  <si>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</si>
  <si>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</si>
  <si>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</si>
  <si>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</si>
  <si>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</si>
  <si>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</si>
  <si>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</si>
  <si>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</si>
  <si>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</si>
  <si>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</si>
  <si>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</si>
  <si>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</si>
  <si>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</si>
  <si>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</si>
  <si>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</si>
  <si>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</si>
  <si>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</si>
  <si>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</si>
  <si>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</si>
  <si>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</si>
  <si>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</si>
  <si>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</si>
  <si>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</si>
  <si>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</si>
  <si>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</si>
  <si>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</si>
  <si>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</si>
  <si>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</si>
  <si>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</si>
  <si>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</si>
  <si>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</si>
  <si>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</si>
  <si>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</si>
  <si>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</si>
  <si>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</si>
  <si>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</si>
  <si>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</si>
  <si>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</si>
  <si>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</si>
  <si>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</si>
  <si>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</si>
  <si>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</si>
  <si>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</si>
  <si>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</si>
  <si>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</si>
  <si>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</si>
  <si>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</si>
  <si>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</si>
  <si>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</si>
  <si>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</si>
  <si>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</si>
  <si>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</si>
  <si>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</si>
  <si>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</si>
  <si>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</si>
  <si>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</si>
  <si>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</si>
  <si>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</si>
  <si>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</si>
  <si>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</si>
  <si>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</si>
  <si>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</si>
  <si>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</si>
  <si>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</si>
  <si>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</si>
  <si>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</si>
  <si>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</si>
  <si>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</si>
  <si>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</si>
  <si>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</si>
  <si>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</si>
  <si>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</si>
  <si>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</si>
  <si>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</si>
  <si>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</si>
  <si>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</si>
  <si>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</si>
  <si>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</si>
  <si>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</si>
  <si>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</si>
  <si>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</si>
  <si>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</si>
  <si>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</si>
  <si>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</si>
  <si>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</si>
  <si>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</si>
  <si>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</si>
  <si>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</si>
  <si>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</si>
  <si>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</si>
  <si>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</si>
  <si>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</si>
  <si>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</si>
  <si>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</si>
  <si>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</si>
  <si>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</si>
  <si>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</si>
  <si>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</si>
  <si>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</si>
  <si>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</si>
  <si>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</si>
  <si>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</si>
  <si>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</si>
  <si>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</si>
  <si>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</si>
  <si>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</si>
  <si>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</si>
  <si>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</si>
  <si>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</si>
  <si>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</si>
  <si>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</si>
  <si>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</si>
  <si>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</si>
  <si>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</si>
  <si>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</si>
  <si>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</si>
  <si>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</si>
  <si>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</si>
  <si>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</si>
  <si>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</si>
  <si>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</si>
  <si>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</si>
  <si>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</si>
  <si>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</si>
  <si>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</si>
  <si>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</si>
  <si>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</si>
  <si>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</si>
  <si>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</si>
  <si>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</si>
  <si>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</si>
  <si>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</si>
  <si>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</si>
  <si>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</si>
  <si>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</si>
  <si>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</si>
  <si>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</si>
  <si>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</si>
  <si>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</si>
  <si>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</si>
  <si>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</si>
  <si>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</si>
  <si>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</si>
  <si>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</si>
  <si>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</si>
  <si>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</si>
  <si>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</si>
  <si>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</si>
  <si>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</si>
  <si>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</si>
  <si>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</si>
  <si>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</si>
  <si>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</si>
  <si>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</si>
  <si>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</si>
  <si>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</si>
  <si>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</si>
  <si>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</si>
  <si>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</si>
  <si>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</si>
  <si>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</si>
  <si>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</si>
  <si>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</si>
  <si>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</si>
  <si>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</si>
  <si>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</si>
  <si>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</si>
  <si>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</si>
  <si>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</si>
  <si>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</si>
  <si>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</si>
  <si>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</si>
  <si>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</si>
  <si>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</si>
  <si>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</si>
  <si>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</si>
  <si>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</si>
  <si>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</si>
  <si>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</si>
  <si>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</si>
  <si>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</si>
  <si>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</si>
  <si>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</si>
  <si>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</si>
  <si>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</si>
  <si>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</si>
  <si>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</si>
  <si>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</si>
  <si>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</si>
  <si>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</si>
  <si>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</si>
  <si>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</si>
  <si>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</si>
  <si>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</si>
  <si>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</si>
  <si>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</si>
  <si>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</si>
  <si>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</si>
  <si>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</si>
  <si>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</si>
  <si>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</si>
  <si>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</si>
  <si>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</si>
  <si>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</si>
  <si>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</si>
  <si>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</si>
  <si>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</si>
  <si>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</si>
  <si>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</si>
  <si>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</si>
  <si>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</si>
  <si>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</si>
  <si>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</si>
  <si>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</si>
  <si>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</si>
  <si>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</si>
  <si>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</si>
  <si>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</si>
  <si>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</si>
  <si>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</si>
  <si>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</si>
  <si>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</si>
  <si>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</si>
  <si>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</si>
  <si>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</si>
  <si>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</si>
  <si>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</si>
  <si>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</si>
  <si>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</si>
  <si>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</si>
  <si>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</si>
  <si>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</si>
  <si>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</si>
  <si>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</si>
  <si>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</si>
  <si>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</si>
  <si>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</si>
  <si>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</si>
  <si>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</si>
  <si>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</si>
  <si>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</si>
  <si>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</si>
  <si>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</si>
  <si>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</si>
  <si>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</si>
  <si>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</si>
  <si>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</si>
  <si>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</si>
  <si>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</si>
  <si>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</si>
  <si>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</si>
  <si>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</si>
  <si>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</si>
  <si>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</si>
  <si>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</si>
  <si>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</si>
  <si>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</si>
  <si>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</si>
  <si>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</si>
  <si>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</si>
  <si>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</si>
  <si>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</si>
  <si>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</si>
  <si>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</si>
  <si>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</si>
  <si>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</si>
  <si>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</si>
  <si>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</si>
  <si>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</si>
  <si>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</si>
  <si>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</si>
  <si>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</si>
  <si>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</si>
  <si>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</si>
  <si>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</si>
  <si>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</si>
  <si>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</si>
  <si>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</si>
  <si>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</si>
  <si>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</si>
  <si>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</si>
  <si>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</si>
  <si>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</si>
  <si>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</si>
  <si>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</si>
  <si>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</si>
  <si>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</si>
  <si>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</si>
  <si>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</si>
  <si>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</si>
  <si>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</si>
  <si>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</si>
  <si>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</si>
  <si>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</si>
  <si>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</si>
  <si>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</si>
  <si>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</si>
  <si>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</si>
  <si>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</si>
  <si>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</si>
  <si>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</si>
  <si>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</si>
  <si>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</si>
  <si>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</si>
  <si>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</si>
  <si>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</si>
  <si>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</si>
  <si>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</si>
  <si>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</si>
  <si>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</si>
  <si>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</si>
  <si>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</si>
  <si>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</si>
  <si>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</si>
  <si>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</si>
  <si>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</si>
  <si>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</si>
  <si>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</si>
  <si>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</si>
  <si>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</si>
  <si>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</si>
  <si>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</si>
  <si>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</si>
  <si>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</si>
  <si>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</si>
  <si>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</si>
  <si>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</si>
  <si>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</si>
  <si>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</si>
  <si>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</si>
  <si>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</si>
  <si>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</si>
  <si>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</si>
  <si>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</si>
  <si>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</si>
  <si>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</si>
  <si>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</si>
  <si>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</si>
  <si>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</si>
  <si>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</si>
  <si>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</si>
  <si>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</si>
  <si>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</si>
  <si>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</si>
  <si>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</si>
  <si>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</si>
  <si>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</si>
  <si>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</si>
  <si>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</si>
  <si>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</si>
  <si>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</si>
  <si>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</si>
  <si>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</si>
  <si>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</si>
  <si>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</si>
  <si>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</si>
  <si>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</si>
  <si>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</si>
  <si>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</si>
  <si>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</si>
  <si>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</si>
  <si>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</si>
  <si>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</si>
  <si>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</si>
  <si>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</si>
  <si>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</si>
  <si>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</si>
  <si>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</si>
  <si>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</si>
  <si>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</si>
  <si>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</si>
  <si>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</si>
  <si>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</si>
  <si>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</si>
  <si>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</si>
  <si>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</si>
  <si>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</si>
  <si>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</si>
  <si>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</si>
  <si>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</si>
  <si>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</si>
  <si>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</si>
  <si>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</si>
  <si>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</si>
  <si>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</si>
  <si>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</si>
  <si>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</si>
  <si>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</si>
  <si>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</si>
  <si>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</si>
  <si>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</si>
  <si>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</si>
  <si>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</si>
  <si>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</si>
  <si>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</si>
  <si>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</si>
  <si>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</si>
  <si>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</si>
  <si>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</si>
  <si>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</si>
  <si>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</si>
  <si>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</si>
  <si>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</si>
  <si>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</si>
  <si>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</si>
  <si>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</si>
  <si>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</si>
  <si>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</si>
  <si>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</si>
  <si>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</si>
  <si>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</si>
  <si>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</si>
  <si>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</si>
  <si>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</si>
  <si>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</si>
  <si>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</si>
  <si>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</si>
  <si>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</si>
  <si>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</si>
  <si>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</si>
  <si>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</si>
  <si>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</si>
  <si>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</si>
  <si>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</si>
  <si>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</si>
  <si>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</si>
  <si>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</si>
  <si>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</si>
  <si>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</si>
  <si>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</si>
  <si>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</si>
  <si>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</si>
  <si>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</si>
  <si>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</si>
  <si>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</si>
  <si>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</si>
  <si>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</si>
  <si>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</si>
  <si>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</si>
  <si>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</si>
  <si>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</si>
  <si>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</si>
  <si>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</si>
  <si>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</si>
  <si>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</si>
  <si>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</si>
  <si>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</si>
  <si>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</si>
  <si>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</si>
  <si>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</si>
  <si>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</si>
  <si>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</si>
  <si>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</si>
  <si>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</si>
  <si>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</si>
  <si>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</si>
  <si>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</si>
  <si>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</si>
  <si>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</si>
  <si>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</si>
  <si>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</si>
  <si>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</si>
  <si>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</si>
  <si>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</si>
  <si>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</si>
  <si>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</si>
  <si>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</si>
  <si>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</si>
  <si>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</si>
  <si>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</si>
  <si>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</si>
  <si>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</si>
  <si>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</si>
  <si>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</si>
  <si>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</si>
  <si>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</si>
  <si>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</si>
  <si>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</si>
  <si>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</si>
  <si>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</si>
  <si>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</si>
  <si>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</si>
  <si>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</si>
  <si>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</si>
  <si>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</si>
  <si>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</si>
  <si>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</si>
  <si>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</si>
  <si>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</si>
  <si>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</si>
  <si>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</si>
  <si>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</si>
  <si>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</si>
  <si>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</si>
  <si>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</si>
  <si>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</si>
  <si>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</si>
  <si>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</si>
  <si>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</si>
  <si>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</si>
  <si>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</si>
  <si>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</si>
  <si>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</si>
  <si>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</si>
  <si>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</si>
  <si>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</si>
  <si>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</si>
  <si>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</si>
  <si>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</si>
  <si>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</si>
  <si>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</si>
  <si>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</si>
  <si>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</si>
  <si>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</si>
  <si>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</si>
  <si>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</si>
  <si>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</si>
  <si>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</si>
  <si>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</si>
  <si>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</si>
  <si>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</si>
  <si>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</si>
  <si>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</si>
  <si>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</si>
  <si>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</si>
  <si>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</si>
  <si>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</si>
  <si>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</si>
  <si>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</si>
  <si>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</si>
  <si>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</si>
  <si>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</si>
  <si>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</si>
  <si>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</si>
  <si>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</si>
  <si>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</si>
  <si>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</si>
  <si>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</si>
  <si>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</si>
  <si>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</si>
  <si>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</si>
  <si>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</si>
  <si>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</si>
  <si>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</si>
  <si>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</si>
  <si>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</si>
  <si>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</si>
  <si>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</si>
  <si>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</si>
  <si>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</si>
  <si>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</si>
  <si>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</si>
  <si>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</si>
  <si>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</si>
  <si>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</si>
  <si>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</si>
  <si>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</si>
  <si>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</si>
  <si>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</si>
  <si>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</si>
  <si>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</si>
  <si>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</si>
  <si>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</si>
  <si>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</si>
  <si>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</si>
  <si>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</si>
  <si>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</si>
  <si>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</si>
  <si>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</si>
  <si>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</si>
  <si>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</si>
  <si>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</si>
  <si>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</si>
  <si>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</si>
  <si>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</si>
  <si>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</si>
  <si>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</si>
  <si>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</si>
  <si>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</si>
  <si>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</si>
  <si>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</si>
  <si>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</si>
  <si>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</si>
  <si>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</si>
  <si>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</si>
  <si>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</si>
  <si>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</si>
  <si>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</si>
  <si>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</si>
  <si>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</si>
  <si>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</si>
  <si>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</si>
  <si>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</si>
  <si>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</si>
  <si>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</si>
  <si>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</si>
  <si>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</si>
  <si>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</si>
  <si>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</si>
  <si>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</si>
  <si>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</si>
  <si>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</si>
  <si>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</si>
  <si>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</si>
  <si>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</si>
  <si>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</si>
  <si>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</si>
  <si>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</si>
  <si>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</si>
  <si>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</si>
  <si>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</si>
  <si>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</si>
  <si>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</si>
  <si>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</si>
  <si>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</si>
  <si>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</si>
  <si>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</si>
  <si>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</si>
  <si>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</si>
  <si>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</si>
  <si>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</si>
  <si>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</si>
  <si>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</si>
  <si>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</si>
  <si>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</si>
  <si>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</si>
  <si>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</si>
  <si>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</si>
  <si>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</si>
  <si>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</si>
  <si>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</si>
  <si>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</si>
  <si>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</si>
  <si>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</si>
  <si>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</si>
  <si>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</si>
  <si>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</si>
  <si>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</si>
  <si>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</si>
  <si>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</si>
  <si>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</si>
  <si>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</si>
  <si>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</si>
  <si>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</si>
  <si>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</si>
  <si>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</si>
  <si>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</si>
  <si>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</si>
  <si>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</si>
  <si>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</si>
  <si>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</si>
  <si>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</si>
  <si>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</si>
  <si>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</si>
  <si>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</si>
  <si>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</si>
  <si>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</si>
  <si>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</si>
  <si>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</si>
  <si>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</si>
  <si>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</si>
  <si>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</si>
  <si>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</si>
  <si>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</si>
  <si>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</si>
  <si>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</si>
  <si>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</si>
  <si>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</si>
  <si>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</si>
  <si>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</si>
  <si>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</si>
  <si>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</si>
  <si>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</si>
  <si>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</si>
  <si>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</si>
  <si>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</si>
  <si>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</si>
  <si>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</si>
  <si>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</si>
  <si>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</si>
  <si>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</si>
  <si>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</si>
  <si>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</si>
  <si>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</si>
  <si>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</si>
  <si>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</si>
  <si>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</si>
  <si>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</si>
  <si>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</si>
  <si>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</si>
  <si>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</si>
  <si>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</si>
  <si>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</si>
  <si>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</si>
  <si>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</si>
  <si>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</si>
  <si>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</si>
  <si>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</si>
  <si>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</si>
  <si>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</si>
  <si>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</si>
  <si>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</si>
  <si>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</si>
  <si>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</si>
  <si>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</si>
  <si>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</si>
  <si>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</si>
  <si>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</si>
  <si>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</si>
  <si>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</si>
  <si>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</si>
  <si>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</si>
  <si>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</si>
  <si>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</si>
  <si>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</si>
  <si>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</si>
  <si>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</si>
  <si>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</si>
  <si>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</si>
  <si>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</si>
  <si>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</si>
  <si>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</si>
  <si>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</si>
  <si>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</si>
  <si>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</si>
  <si>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</si>
  <si>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</si>
  <si>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</si>
  <si>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</si>
  <si>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</si>
  <si>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</si>
  <si>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</si>
  <si>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</si>
  <si>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</si>
  <si>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</si>
  <si>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</si>
  <si>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</si>
  <si>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</si>
  <si>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</si>
  <si>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</si>
  <si>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</si>
  <si>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</si>
  <si>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</si>
  <si>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</si>
  <si>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</si>
  <si>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</si>
  <si>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</si>
  <si>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</si>
  <si>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</si>
  <si>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</si>
  <si>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</si>
  <si>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</si>
  <si>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</si>
  <si>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</si>
  <si>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</si>
  <si>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</si>
  <si>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</si>
  <si>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</si>
  <si>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</si>
  <si>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</si>
  <si>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</si>
  <si>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</si>
  <si>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</si>
  <si>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</si>
  <si>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</si>
  <si>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</si>
  <si>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</si>
  <si>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</si>
  <si>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</si>
  <si>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</si>
  <si>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</si>
  <si>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</si>
  <si>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</si>
  <si>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</si>
  <si>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</si>
  <si>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</si>
  <si>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</si>
  <si>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</si>
  <si>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</si>
  <si>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</si>
  <si>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</si>
  <si>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</si>
  <si>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</si>
  <si>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</si>
  <si>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</si>
  <si>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</si>
  <si>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</si>
  <si>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</si>
  <si>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</si>
  <si>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</si>
  <si>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</si>
  <si>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</si>
  <si>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</si>
  <si>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</si>
  <si>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</si>
  <si>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</si>
  <si>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</si>
  <si>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</si>
  <si>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</si>
  <si>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</si>
  <si>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</si>
  <si>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</si>
  <si>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</si>
  <si>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</si>
  <si>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</si>
  <si>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</si>
  <si>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</si>
  <si>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</si>
  <si>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</si>
  <si>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</si>
  <si>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</si>
  <si>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</si>
  <si>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</si>
  <si>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</si>
  <si>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</si>
  <si>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</si>
  <si>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</si>
  <si>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</si>
  <si>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</si>
  <si>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</si>
  <si>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</si>
  <si>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</si>
  <si>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</si>
  <si>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</si>
  <si>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</si>
  <si>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</si>
  <si>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</si>
  <si>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</si>
  <si>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</si>
  <si>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</si>
  <si>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</si>
  <si>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</si>
  <si>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</si>
  <si>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</si>
  <si>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</si>
  <si>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</si>
  <si>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</si>
  <si>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</si>
  <si>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</si>
  <si>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</si>
  <si>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</si>
  <si>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</si>
  <si>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</si>
  <si>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</si>
  <si>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</si>
  <si>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</si>
  <si>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</si>
  <si>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</si>
  <si>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</si>
  <si>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</si>
  <si>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</si>
  <si>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</si>
  <si>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</si>
  <si>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</si>
  <si>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</si>
  <si>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</si>
  <si>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</si>
  <si>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</si>
  <si>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</si>
  <si>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</si>
  <si>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</si>
  <si>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</si>
  <si>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</si>
  <si>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</si>
  <si>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</si>
  <si>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</si>
  <si>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</si>
  <si>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</si>
  <si>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</si>
  <si>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</si>
  <si>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</si>
  <si>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</si>
  <si>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</si>
  <si>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</si>
  <si>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</si>
  <si>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</si>
  <si>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</si>
  <si>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</si>
  <si>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</si>
  <si>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</si>
  <si>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</si>
  <si>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</si>
  <si>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</si>
  <si>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</si>
  <si>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</si>
  <si>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</si>
  <si>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</si>
  <si>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</si>
  <si>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</si>
  <si>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</si>
  <si>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</si>
  <si>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</si>
  <si>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</si>
  <si>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</si>
  <si>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</si>
  <si>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</si>
  <si>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</si>
  <si>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</si>
  <si>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</si>
  <si>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</si>
  <si>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</si>
  <si>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</si>
  <si>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</si>
  <si>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</si>
  <si>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</si>
  <si>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</si>
  <si>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</si>
  <si>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</si>
  <si>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</si>
  <si>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</si>
  <si>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</si>
  <si>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</si>
  <si>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</si>
  <si>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</si>
  <si>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</si>
  <si>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</si>
  <si>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</si>
  <si>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</si>
  <si>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</si>
  <si>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</si>
  <si>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</si>
  <si>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</si>
  <si>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</si>
  <si>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</si>
  <si>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</si>
  <si>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</si>
  <si>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</si>
  <si>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</si>
  <si>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</si>
  <si>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</si>
  <si>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</si>
  <si>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</si>
  <si>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</si>
  <si>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</si>
  <si>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</si>
  <si>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</si>
  <si>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</si>
  <si>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</si>
  <si>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</si>
  <si>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</si>
  <si>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</si>
  <si>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</si>
  <si>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</si>
  <si>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</si>
  <si>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</si>
  <si>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</si>
  <si>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</si>
  <si>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</si>
  <si>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</si>
  <si>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</si>
  <si>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</si>
  <si>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</si>
  <si>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</si>
  <si>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</si>
  <si>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</si>
  <si>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</si>
  <si>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</si>
  <si>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</si>
  <si>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</si>
  <si>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</si>
  <si>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</si>
  <si>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</si>
  <si>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</si>
  <si>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</si>
  <si>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</si>
  <si>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</si>
  <si>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</si>
  <si>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</si>
  <si>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</si>
  <si>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</si>
  <si>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</si>
  <si>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</si>
  <si>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</si>
  <si>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</si>
  <si>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</si>
  <si>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</si>
  <si>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</si>
  <si>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</si>
  <si>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</si>
  <si>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</si>
  <si>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</si>
  <si>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</si>
  <si>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</si>
  <si>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</si>
  <si>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</si>
  <si>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</si>
  <si>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</si>
  <si>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</si>
  <si>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</si>
  <si>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</si>
  <si>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</si>
  <si>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</si>
  <si>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</si>
  <si>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</si>
  <si>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</si>
  <si>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</si>
  <si>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</si>
  <si>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</si>
  <si>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</si>
  <si>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</si>
  <si>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</si>
  <si>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</si>
  <si>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</si>
  <si>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</si>
  <si>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</si>
  <si>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</si>
  <si>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</si>
  <si>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</si>
  <si>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</si>
  <si>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</si>
  <si>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</si>
  <si>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</si>
  <si>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</si>
  <si>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</si>
  <si>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</si>
  <si>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</si>
  <si>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</si>
  <si>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</si>
  <si>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</si>
  <si>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</si>
  <si>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</si>
  <si>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</si>
  <si>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</si>
  <si>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</si>
  <si>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</si>
  <si>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</si>
  <si>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</si>
  <si>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</si>
  <si>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</si>
  <si>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</si>
  <si>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</si>
  <si>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</si>
  <si>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</si>
  <si>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</si>
  <si>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</si>
  <si>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</si>
  <si>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</si>
  <si>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</si>
  <si>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</si>
  <si>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</si>
  <si>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</si>
  <si>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</si>
  <si>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</si>
  <si>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</si>
  <si>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</si>
  <si>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</si>
  <si>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</si>
  <si>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</si>
  <si>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</si>
  <si>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</si>
  <si>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</si>
  <si>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</si>
  <si>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</si>
  <si>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</si>
  <si>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</si>
  <si>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</si>
  <si>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</si>
  <si>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</si>
  <si>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</si>
  <si>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</si>
  <si>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</si>
  <si>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</si>
  <si>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</si>
  <si>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</si>
  <si>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</si>
  <si>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</si>
  <si>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</si>
  <si>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</si>
  <si>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</si>
  <si>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</si>
  <si>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</si>
  <si>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</si>
  <si>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</si>
  <si>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</si>
  <si>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</si>
  <si>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</si>
  <si>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</si>
  <si>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</si>
  <si>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</si>
  <si>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</si>
  <si>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</si>
  <si>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</si>
  <si>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</si>
  <si>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</si>
  <si>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</si>
  <si>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</si>
  <si>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</si>
  <si>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</si>
  <si>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</si>
  <si>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</si>
  <si>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</si>
  <si>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</si>
  <si>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</si>
  <si>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</si>
  <si>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</si>
  <si>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</si>
  <si>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</si>
  <si>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</si>
  <si>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</si>
  <si>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</si>
  <si>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</si>
  <si>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</si>
  <si>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</si>
  <si>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</si>
  <si>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</si>
  <si>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</si>
  <si>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</si>
  <si>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</si>
  <si>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</si>
  <si>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</si>
  <si>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</si>
  <si>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</si>
  <si>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</si>
  <si>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</si>
  <si>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</si>
  <si>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</si>
  <si>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</si>
  <si>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</si>
  <si>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</si>
  <si>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</si>
  <si>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</si>
  <si>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</si>
  <si>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</si>
  <si>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</si>
  <si>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</si>
  <si>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</si>
  <si>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</si>
  <si>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</si>
  <si>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</si>
  <si>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</si>
  <si>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</si>
  <si>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</si>
  <si>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</si>
  <si>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</si>
  <si>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</si>
  <si>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</si>
  <si>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</si>
  <si>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</si>
  <si>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</si>
  <si>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</si>
  <si>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</si>
  <si>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</si>
  <si>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</si>
  <si>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</si>
  <si>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</si>
  <si>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</si>
  <si>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</si>
  <si>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</si>
  <si>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</si>
  <si>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</si>
  <si>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</si>
  <si>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</si>
  <si>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</si>
  <si>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</si>
  <si>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</si>
  <si>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</si>
  <si>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</si>
  <si>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</si>
  <si>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</si>
  <si>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</si>
  <si>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</si>
  <si>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</si>
  <si>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</si>
  <si>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</si>
  <si>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</si>
  <si>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</si>
  <si>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</si>
  <si>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</si>
  <si>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</si>
  <si>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</si>
  <si>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</si>
  <si>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</si>
  <si>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</si>
  <si>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</si>
  <si>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</si>
  <si>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</si>
  <si>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</si>
  <si>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</si>
  <si>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</si>
  <si>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</si>
  <si>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</si>
  <si>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</si>
  <si>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</si>
  <si>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</si>
  <si>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</si>
  <si>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</si>
  <si>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</si>
  <si>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</si>
  <si>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</si>
  <si>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</si>
  <si>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</si>
  <si>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</si>
  <si>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</si>
  <si>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</si>
  <si>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</si>
  <si>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</si>
  <si>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</si>
  <si>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</si>
  <si>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</si>
  <si>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</si>
  <si>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</si>
  <si>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</si>
  <si>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</si>
  <si>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</si>
  <si>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</si>
  <si>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</si>
  <si>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</si>
  <si>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</si>
  <si>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</si>
  <si>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</si>
  <si>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</si>
  <si>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</si>
  <si>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</si>
  <si>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</si>
  <si>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</si>
  <si>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</si>
  <si>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</si>
  <si>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</si>
  <si>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</si>
  <si>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</si>
  <si>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</si>
  <si>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</si>
  <si>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</si>
  <si>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</si>
  <si>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</si>
  <si>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</si>
  <si>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</si>
  <si>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</si>
  <si>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</si>
  <si>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</si>
  <si>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</si>
  <si>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</si>
  <si>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</si>
  <si>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</si>
  <si>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</si>
  <si>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</si>
  <si>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</si>
  <si>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</si>
  <si>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</si>
  <si>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</si>
  <si>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</si>
  <si>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</si>
  <si>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</si>
  <si>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</si>
  <si>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</si>
  <si>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</si>
  <si>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</si>
  <si>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</si>
  <si>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</si>
  <si>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</si>
  <si>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</si>
  <si>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</si>
  <si>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</si>
  <si>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</si>
  <si>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</si>
  <si>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</si>
  <si>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</si>
  <si>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</si>
  <si>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</si>
  <si>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</si>
  <si>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</si>
  <si>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</si>
  <si>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</si>
  <si>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</si>
  <si>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</si>
  <si>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</si>
  <si>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</si>
  <si>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</si>
  <si>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</si>
  <si>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</si>
  <si>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</si>
  <si>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</si>
  <si>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</si>
  <si>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</si>
  <si>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</si>
  <si>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</si>
  <si>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</si>
  <si>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</si>
  <si>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</si>
  <si>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</si>
  <si>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</si>
  <si>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</si>
  <si>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</si>
  <si>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</si>
  <si>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</si>
  <si>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</si>
  <si>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</si>
  <si>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</si>
  <si>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</si>
  <si>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</si>
  <si>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</si>
  <si>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</si>
  <si>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</si>
  <si>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</si>
  <si>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</si>
  <si>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</si>
  <si>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</si>
  <si>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</si>
  <si>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</si>
  <si>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</si>
  <si>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</si>
  <si>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</si>
  <si>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</si>
  <si>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</si>
  <si>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</si>
  <si>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</si>
  <si>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</si>
  <si>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</si>
  <si>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</si>
  <si>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</si>
  <si>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</si>
  <si>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</si>
  <si>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</si>
  <si>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</si>
  <si>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</si>
  <si>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</si>
  <si>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</si>
  <si>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</si>
  <si>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</si>
  <si>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</si>
  <si>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</si>
  <si>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</si>
  <si>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</si>
  <si>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</si>
  <si>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</si>
  <si>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</si>
  <si>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</si>
  <si>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</si>
  <si>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</si>
  <si>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</si>
  <si>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</si>
  <si>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</si>
  <si>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</si>
  <si>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</si>
  <si>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</si>
  <si>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</si>
  <si>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</si>
  <si>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</si>
  <si>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</si>
  <si>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</si>
  <si>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</si>
  <si>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</si>
  <si>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</si>
  <si>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</si>
  <si>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</si>
  <si>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</si>
  <si>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</si>
  <si>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</si>
  <si>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</si>
  <si>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</si>
  <si>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</si>
  <si>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</si>
  <si>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</si>
  <si>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</si>
  <si>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</si>
  <si>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</si>
  <si>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</si>
  <si>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</si>
  <si>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</si>
  <si>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</si>
  <si>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</si>
  <si>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</si>
  <si>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</si>
  <si>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</si>
  <si>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</si>
  <si>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</si>
  <si>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</si>
  <si>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</si>
  <si>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</si>
  <si>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</si>
  <si>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</si>
  <si>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</si>
  <si>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</si>
  <si>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</si>
  <si>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</si>
  <si>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</si>
  <si>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</si>
  <si>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</si>
  <si>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</si>
  <si>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</si>
  <si>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</si>
  <si>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</si>
  <si>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</si>
  <si>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</si>
  <si>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</si>
  <si>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</si>
  <si>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</si>
  <si>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</si>
  <si>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</si>
  <si>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</si>
  <si>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</si>
  <si>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</si>
  <si>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</si>
  <si>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</si>
  <si>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</si>
  <si>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</si>
  <si>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</si>
  <si>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</si>
  <si>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</si>
  <si>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</si>
  <si>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</si>
  <si>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</si>
  <si>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</si>
  <si>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</si>
  <si>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</si>
  <si>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</si>
  <si>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</si>
  <si>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</si>
  <si>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</si>
  <si>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</si>
  <si>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</si>
  <si>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</si>
  <si>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</si>
  <si>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</si>
  <si>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</si>
  <si>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</si>
  <si>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</si>
  <si>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</si>
  <si>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</si>
  <si>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</si>
  <si>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</si>
  <si>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</si>
  <si>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</si>
  <si>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</si>
  <si>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</si>
  <si>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</si>
  <si>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</si>
  <si>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</si>
  <si>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</si>
  <si>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</si>
  <si>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</si>
  <si>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</si>
  <si>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</si>
  <si>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</si>
  <si>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</si>
  <si>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</si>
  <si>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</si>
  <si>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</si>
  <si>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</si>
  <si>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</si>
  <si>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</si>
  <si>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</si>
  <si>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</si>
  <si>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</si>
  <si>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</si>
  <si>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</si>
  <si>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</si>
  <si>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</si>
  <si>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</si>
  <si>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</si>
  <si>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</si>
  <si>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</si>
  <si>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</si>
  <si>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</si>
  <si>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</si>
  <si>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</si>
  <si>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</si>
  <si>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</si>
  <si>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</si>
  <si>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</si>
  <si>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</si>
  <si>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</si>
  <si>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</si>
  <si>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</si>
  <si>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</si>
  <si>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</si>
  <si>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</si>
  <si>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</si>
  <si>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</si>
  <si>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</si>
  <si>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</si>
  <si>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</si>
  <si>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</si>
  <si>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</si>
  <si>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</si>
  <si>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</si>
  <si>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</si>
  <si>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</si>
  <si>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</si>
  <si>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</si>
  <si>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</si>
  <si>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</si>
  <si>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</si>
  <si>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</si>
  <si>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</si>
  <si>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</si>
  <si>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</si>
  <si>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</si>
  <si>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</si>
  <si>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</si>
  <si>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</si>
  <si>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</si>
  <si>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</si>
  <si>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</si>
  <si>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</si>
  <si>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</si>
  <si>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</si>
  <si>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</si>
  <si>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</si>
  <si>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</si>
  <si>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</si>
  <si>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</si>
  <si>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</si>
  <si>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</si>
  <si>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</si>
  <si>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</si>
  <si>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</si>
  <si>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</si>
  <si>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</si>
  <si>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</si>
  <si>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</si>
  <si>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</si>
  <si>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</si>
  <si>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</si>
  <si>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</si>
  <si>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</si>
  <si>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</si>
  <si>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</si>
  <si>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</si>
  <si>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</si>
  <si>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</si>
  <si>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</si>
  <si>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</si>
  <si>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</si>
  <si>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</si>
  <si>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</si>
  <si>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</si>
  <si>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</si>
  <si>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</si>
  <si>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</si>
  <si>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</si>
  <si>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</si>
  <si>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</si>
  <si>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</si>
  <si>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</si>
  <si>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</si>
  <si>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</si>
  <si>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</si>
  <si>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</si>
  <si>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</si>
  <si>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</si>
  <si>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</si>
  <si>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</si>
  <si>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</si>
  <si>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</si>
  <si>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</si>
  <si>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</si>
  <si>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</si>
  <si>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</si>
  <si>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</si>
  <si>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</si>
  <si>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</si>
  <si>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</si>
  <si>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</si>
  <si>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</si>
  <si>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</si>
  <si>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</si>
  <si>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</si>
  <si>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</si>
  <si>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</si>
  <si>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</si>
  <si>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</si>
  <si>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</si>
  <si>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</si>
  <si>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</si>
  <si>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</si>
  <si>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</si>
  <si>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</si>
  <si>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</si>
  <si>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</si>
  <si>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</si>
  <si>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</si>
  <si>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</si>
  <si>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</si>
  <si>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</si>
  <si>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</si>
  <si>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</si>
  <si>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</si>
  <si>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</si>
  <si>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</si>
  <si>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</si>
  <si>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</si>
  <si>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</si>
  <si>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</si>
  <si>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</si>
  <si>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</si>
  <si>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</si>
  <si>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</si>
  <si>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</si>
  <si>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</si>
  <si>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</si>
  <si>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</si>
  <si>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</si>
  <si>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</si>
  <si>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</si>
  <si>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</si>
  <si>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</si>
  <si>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</si>
  <si>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</si>
  <si>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</si>
  <si>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</si>
  <si>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</si>
  <si>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</si>
  <si>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</si>
  <si>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</si>
  <si>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</si>
  <si>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</si>
  <si>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</si>
  <si>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</si>
  <si>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</si>
  <si>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</si>
  <si>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</si>
  <si>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</si>
  <si>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</si>
  <si>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</si>
  <si>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</si>
  <si>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</si>
  <si>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</si>
  <si>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</si>
  <si>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</si>
  <si>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</si>
  <si>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</si>
  <si>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</si>
  <si>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</si>
  <si>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</si>
  <si>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</si>
  <si>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</si>
  <si>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</si>
  <si>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</si>
  <si>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</si>
  <si>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</si>
  <si>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</si>
  <si>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</si>
  <si>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</si>
  <si>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</si>
  <si>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</si>
  <si>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</si>
  <si>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</si>
  <si>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</si>
  <si>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</si>
  <si>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</si>
  <si>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</si>
  <si>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</si>
  <si>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</si>
  <si>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</si>
  <si>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</si>
  <si>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</si>
  <si>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</si>
  <si>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</si>
  <si>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</si>
  <si>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</si>
  <si>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</si>
  <si>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</si>
  <si>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</si>
  <si>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</si>
  <si>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</si>
  <si>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</si>
  <si>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</si>
  <si>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</si>
  <si>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</si>
  <si>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</si>
  <si>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</si>
  <si>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</si>
  <si>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</si>
  <si>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</si>
  <si>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</si>
  <si>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</si>
  <si>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</si>
  <si>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</si>
  <si>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</si>
  <si>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</si>
  <si>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</si>
  <si>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</si>
  <si>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</si>
  <si>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</si>
  <si>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</si>
  <si>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</si>
  <si>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</si>
  <si>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</si>
  <si>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</si>
  <si>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</si>
  <si>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</si>
  <si>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</si>
  <si>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</si>
  <si>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</si>
  <si>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</si>
  <si>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</si>
  <si>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</si>
  <si>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</si>
  <si>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</si>
  <si>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</si>
  <si>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</si>
  <si>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</si>
  <si>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</si>
  <si>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</si>
  <si>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</si>
  <si>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</si>
  <si>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</si>
  <si>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</si>
  <si>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</si>
  <si>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</si>
  <si>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</si>
  <si>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</si>
  <si>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</si>
  <si>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</si>
  <si>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</si>
  <si>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</si>
  <si>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</si>
  <si>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</si>
  <si>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</si>
  <si>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</si>
  <si>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</si>
  <si>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</si>
  <si>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</si>
  <si>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</si>
  <si>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</si>
  <si>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</si>
  <si>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</si>
  <si>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</si>
  <si>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</si>
  <si>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</si>
  <si>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</si>
  <si>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</si>
  <si>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</si>
  <si>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</si>
  <si>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</si>
  <si>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</si>
  <si>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</si>
  <si>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</si>
  <si>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</si>
  <si>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</si>
  <si>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</si>
  <si>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</si>
  <si>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</si>
  <si>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</si>
  <si>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</si>
  <si>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</si>
  <si>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</si>
  <si>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</si>
  <si>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</si>
  <si>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</si>
  <si>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</si>
  <si>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</si>
  <si>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</si>
  <si>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</si>
  <si>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</si>
  <si>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</si>
  <si>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</si>
  <si>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</si>
  <si>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</si>
  <si>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</si>
  <si>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</si>
  <si>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</si>
  <si>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</si>
  <si>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</si>
  <si>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</si>
  <si>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</si>
  <si>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</si>
  <si>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</si>
  <si>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</si>
  <si>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</si>
  <si>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</si>
  <si>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</si>
  <si>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</si>
  <si>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</si>
  <si>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</si>
  <si>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</si>
  <si>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</si>
  <si>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</si>
  <si>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</si>
  <si>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</si>
  <si>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</si>
  <si>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</si>
  <si>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</si>
  <si>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</si>
  <si>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</si>
  <si>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</si>
  <si>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</si>
  <si>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</si>
  <si>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</si>
  <si>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</si>
  <si>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</si>
  <si>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</si>
  <si>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</si>
  <si>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</si>
  <si>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</si>
  <si>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</si>
  <si>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</si>
  <si>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</si>
  <si>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</si>
  <si>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</si>
  <si>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</si>
  <si>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</si>
  <si>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</si>
  <si>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</si>
  <si>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</si>
  <si>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</si>
  <si>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</si>
  <si>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</si>
  <si>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</si>
  <si>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</si>
  <si>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</si>
  <si>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</si>
  <si>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</si>
  <si>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</si>
  <si>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</si>
  <si>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</si>
  <si>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</si>
  <si>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</si>
  <si>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</si>
  <si>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</si>
  <si>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</si>
  <si>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</si>
  <si>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</si>
  <si>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</si>
  <si>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</si>
  <si>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</si>
  <si>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</si>
  <si>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</si>
  <si>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</si>
  <si>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</si>
  <si>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</si>
  <si>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</si>
  <si>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</si>
  <si>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</si>
  <si>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</si>
  <si>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</si>
  <si>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</si>
  <si>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</si>
  <si>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</si>
  <si>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</si>
  <si>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</si>
  <si>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</si>
  <si>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</si>
  <si>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</si>
  <si>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</si>
  <si>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</si>
  <si>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</si>
  <si>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</si>
  <si>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</si>
  <si>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</si>
  <si>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</si>
  <si>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</si>
  <si>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</si>
  <si>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</si>
  <si>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</si>
  <si>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</si>
  <si>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</si>
  <si>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</si>
  <si>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</si>
  <si>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</si>
  <si>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</si>
  <si>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</si>
  <si>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</si>
  <si>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</si>
  <si>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</si>
  <si>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</si>
  <si>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</si>
  <si>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</si>
  <si>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</si>
  <si>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</si>
  <si>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</si>
  <si>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</si>
  <si>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</si>
  <si>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</si>
  <si>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</si>
  <si>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</si>
  <si>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</si>
  <si>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</si>
  <si>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</si>
  <si>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</si>
  <si>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</si>
  <si>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</si>
  <si>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</si>
  <si>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</si>
  <si>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</si>
  <si>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</si>
  <si>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</si>
  <si>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</si>
  <si>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</si>
  <si>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</si>
  <si>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</si>
  <si>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</si>
  <si>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</si>
  <si>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</si>
  <si>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</si>
  <si>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</si>
  <si>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</si>
  <si>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</si>
  <si>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</si>
  <si>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</si>
  <si>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</si>
  <si>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</si>
  <si>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</si>
  <si>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</si>
  <si>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</si>
  <si>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</si>
  <si>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</si>
  <si>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</si>
  <si>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</si>
  <si>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</si>
  <si>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</si>
  <si>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</si>
  <si>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</si>
  <si>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</si>
  <si>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</si>
  <si>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</si>
  <si>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</si>
  <si>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</si>
  <si>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</si>
  <si>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</si>
  <si>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</si>
  <si>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</si>
  <si>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</si>
  <si>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</si>
  <si>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</si>
  <si>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</si>
  <si>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</si>
  <si>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</si>
  <si>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</si>
  <si>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</si>
  <si>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</si>
  <si>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</si>
  <si>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</si>
  <si>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</si>
  <si>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</si>
  <si>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</si>
  <si>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</si>
  <si>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</si>
  <si>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</si>
  <si>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</si>
  <si>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</si>
  <si>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</si>
  <si>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</si>
  <si>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</si>
  <si>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</si>
  <si>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</si>
  <si>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</si>
  <si>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</si>
  <si>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</si>
  <si>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</si>
  <si>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</si>
  <si>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</si>
  <si>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</si>
  <si>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</si>
  <si>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</si>
  <si>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</si>
  <si>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</si>
  <si>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</si>
  <si>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</si>
  <si>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</si>
  <si>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</si>
  <si>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</si>
  <si>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</si>
  <si>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</si>
  <si>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</si>
  <si>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</si>
  <si>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</si>
  <si>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</si>
  <si>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</si>
  <si>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</si>
  <si>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</si>
  <si>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</si>
  <si>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</si>
  <si>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</si>
  <si>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</si>
  <si>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</si>
  <si>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</si>
  <si>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</si>
  <si>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</si>
  <si>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</si>
  <si>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</si>
  <si>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</si>
  <si>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</si>
  <si>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</si>
  <si>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</si>
  <si>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</si>
  <si>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</si>
  <si>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</si>
  <si>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</si>
  <si>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</si>
  <si>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</si>
  <si>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</si>
  <si>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</si>
  <si>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</si>
  <si>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</si>
  <si>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</si>
  <si>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</si>
  <si>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</si>
  <si>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</si>
  <si>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</si>
  <si>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</si>
  <si>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</si>
  <si>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</si>
  <si>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</si>
  <si>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</si>
  <si>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</si>
  <si>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</si>
  <si>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</si>
  <si>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</si>
  <si>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</si>
  <si>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</si>
  <si>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</si>
  <si>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</si>
  <si>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</si>
  <si>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</si>
  <si>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</si>
  <si>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</si>
  <si>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</si>
  <si>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</si>
  <si>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</si>
  <si>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</si>
  <si>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</si>
  <si>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</si>
  <si>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</si>
  <si>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</si>
  <si>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</si>
  <si>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</si>
  <si>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</si>
  <si>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</si>
  <si>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</si>
  <si>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</si>
  <si>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</si>
  <si>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</si>
  <si>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</si>
  <si>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</si>
  <si>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</si>
  <si>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</si>
  <si>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</si>
  <si>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</si>
  <si>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</si>
  <si>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</si>
  <si>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</si>
  <si>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</si>
  <si>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</si>
  <si>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</si>
  <si>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</si>
  <si>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</si>
  <si>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</si>
  <si>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</si>
  <si>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</si>
  <si>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</si>
  <si>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</si>
  <si>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</si>
  <si>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</si>
  <si>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</si>
  <si>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</si>
  <si>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</si>
  <si>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</si>
  <si>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</si>
  <si>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</si>
  <si>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</si>
  <si>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</si>
  <si>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</si>
  <si>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</si>
  <si>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</si>
  <si>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</si>
  <si>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</si>
  <si>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</si>
  <si>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</si>
  <si>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</si>
  <si>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</si>
  <si>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</si>
  <si>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</si>
  <si>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</si>
  <si>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</si>
  <si>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</si>
  <si>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</si>
  <si>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</si>
  <si>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</si>
  <si>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</si>
  <si>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</si>
  <si>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</si>
  <si>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</si>
  <si>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</si>
  <si>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</si>
  <si>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</si>
  <si>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</si>
  <si>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</si>
  <si>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</si>
  <si>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</si>
  <si>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</si>
  <si>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</si>
  <si>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</si>
  <si>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</si>
  <si>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</si>
  <si>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</si>
  <si>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</si>
  <si>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</si>
  <si>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</si>
  <si>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</si>
  <si>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</si>
  <si>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</si>
  <si>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</si>
  <si>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</si>
  <si>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</si>
  <si>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</si>
  <si>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</si>
  <si>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</si>
  <si>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</si>
  <si>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</si>
  <si>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</si>
  <si>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</si>
  <si>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</si>
  <si>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</si>
  <si>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</si>
  <si>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</si>
  <si>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</si>
  <si>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</si>
  <si>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</si>
  <si>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</si>
  <si>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</si>
  <si>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</si>
  <si>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</si>
  <si>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</si>
  <si>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</si>
  <si>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</si>
  <si>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</si>
  <si>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</si>
  <si>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</si>
  <si>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</si>
  <si>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</si>
  <si>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</si>
  <si>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</si>
  <si>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</si>
  <si>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</si>
  <si>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</si>
  <si>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</si>
  <si>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</si>
  <si>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</si>
  <si>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</si>
  <si>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</si>
  <si>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</si>
  <si>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</si>
  <si>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</si>
  <si>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</si>
  <si>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</si>
  <si>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</si>
  <si>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</si>
  <si>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</si>
  <si>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</si>
  <si>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</si>
  <si>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</si>
  <si>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</si>
  <si>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</si>
  <si>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</si>
  <si>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</si>
  <si>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</si>
  <si>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</si>
  <si>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</si>
  <si>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</si>
  <si>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</si>
  <si>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</si>
  <si>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</si>
  <si>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</si>
  <si>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</si>
  <si>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</si>
  <si>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</si>
  <si>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</si>
  <si>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</si>
  <si>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</si>
  <si>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</si>
  <si>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</si>
  <si>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</si>
  <si>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</si>
  <si>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</si>
  <si>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</si>
  <si>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</si>
  <si>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</si>
  <si>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</si>
  <si>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</si>
  <si>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</si>
  <si>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</si>
  <si>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</si>
  <si>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</si>
  <si>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</si>
  <si>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</si>
  <si>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</si>
  <si>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</si>
  <si>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</si>
  <si>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</si>
  <si>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</si>
  <si>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</si>
  <si>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</si>
  <si>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</si>
  <si>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</si>
  <si>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</si>
  <si>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</si>
  <si>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</si>
  <si>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</si>
  <si>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</si>
  <si>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</si>
  <si>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</si>
  <si>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</si>
  <si>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</si>
  <si>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</si>
  <si>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</si>
  <si>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</si>
  <si>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</si>
  <si>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</si>
  <si>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</si>
  <si>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</si>
  <si>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</si>
  <si>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</si>
  <si>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</si>
  <si>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</si>
  <si>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</si>
  <si>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</si>
  <si>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</si>
  <si>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</si>
  <si>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</si>
  <si>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</si>
  <si>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</si>
  <si>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</si>
  <si>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</si>
  <si>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</si>
  <si>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</si>
  <si>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</si>
  <si>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</si>
  <si>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</si>
  <si>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</si>
  <si>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</si>
  <si>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</si>
  <si>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</si>
  <si>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</si>
  <si>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</si>
  <si>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</si>
  <si>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</si>
  <si>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</si>
  <si>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</si>
  <si>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</si>
  <si>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</si>
  <si>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</si>
  <si>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</si>
  <si>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</si>
  <si>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</si>
  <si>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</si>
  <si>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</si>
  <si>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</si>
  <si>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</si>
  <si>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</si>
  <si>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</si>
  <si>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</si>
  <si>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</si>
  <si>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</si>
  <si>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</si>
  <si>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</si>
  <si>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</si>
  <si>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</si>
  <si>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</si>
  <si>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</si>
  <si>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</si>
  <si>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</si>
  <si>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</si>
  <si>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</si>
  <si>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</si>
  <si>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</si>
  <si>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</si>
  <si>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</si>
  <si>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</si>
  <si>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</si>
  <si>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</si>
  <si>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</si>
  <si>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</si>
  <si>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</si>
  <si>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</si>
  <si>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</si>
  <si>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</si>
  <si>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</si>
  <si>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</si>
  <si>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</si>
  <si>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</si>
  <si>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</si>
  <si>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</si>
  <si>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</si>
  <si>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</si>
  <si>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</si>
  <si>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</si>
  <si>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</si>
  <si>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</si>
  <si>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</si>
  <si>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</si>
  <si>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</si>
  <si>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</si>
  <si>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</si>
  <si>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</si>
  <si>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</si>
  <si>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</si>
  <si>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</si>
  <si>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</si>
  <si>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</si>
  <si>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</si>
  <si>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</si>
  <si>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</si>
  <si>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</si>
  <si>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</si>
  <si>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</si>
  <si>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</si>
  <si>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</si>
  <si>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</si>
  <si>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</si>
  <si>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</si>
  <si>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</si>
  <si>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</si>
  <si>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</si>
  <si>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</si>
  <si>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</si>
  <si>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</si>
  <si>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</si>
  <si>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</si>
  <si>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</si>
  <si>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</si>
  <si>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</si>
  <si>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</si>
  <si>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</si>
  <si>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</si>
  <si>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</si>
  <si>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</si>
  <si>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</si>
  <si>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</si>
  <si>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</si>
  <si>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</si>
  <si>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</si>
  <si>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</si>
  <si>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</si>
  <si>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</si>
  <si>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</si>
  <si>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</si>
  <si>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</si>
  <si>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</si>
  <si>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</si>
  <si>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</si>
  <si>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</si>
  <si>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</si>
  <si>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</si>
  <si>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</si>
  <si>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</si>
  <si>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</si>
  <si>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</si>
  <si>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</si>
  <si>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</si>
  <si>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</si>
  <si>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</si>
  <si>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</si>
  <si>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</si>
  <si>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</si>
  <si>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</si>
  <si>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</si>
  <si>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</si>
  <si>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</si>
  <si>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</si>
  <si>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</si>
  <si>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</si>
  <si>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</si>
  <si>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</si>
  <si>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</si>
  <si>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</si>
  <si>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</si>
  <si>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</si>
  <si>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</si>
  <si>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</si>
  <si>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</si>
  <si>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</si>
  <si>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</si>
  <si>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</si>
  <si>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</si>
  <si>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</si>
  <si>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</si>
  <si>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</si>
  <si>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</si>
  <si>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</si>
  <si>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</si>
  <si>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</si>
  <si>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</si>
  <si>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</si>
  <si>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</si>
  <si>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</si>
  <si>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</si>
  <si>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</si>
  <si>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</si>
  <si>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</si>
  <si>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</si>
  <si>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</si>
  <si>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</si>
  <si>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</si>
  <si>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</si>
  <si>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</si>
  <si>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</si>
  <si>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</si>
  <si>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</si>
  <si>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</si>
  <si>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</si>
  <si>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</si>
  <si>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</si>
  <si>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</si>
  <si>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</si>
  <si>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</si>
  <si>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</si>
  <si>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</si>
  <si>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</si>
  <si>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</si>
  <si>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</si>
  <si>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</si>
  <si>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</si>
  <si>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</si>
  <si>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</si>
  <si>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</si>
  <si>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</si>
  <si>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</si>
  <si>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</si>
  <si>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</si>
  <si>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</si>
  <si>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</si>
  <si>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</si>
  <si>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</si>
  <si>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</si>
  <si>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</si>
  <si>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</si>
  <si>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</si>
  <si>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</si>
  <si>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</si>
  <si>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</si>
  <si>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</si>
  <si>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</si>
  <si>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</si>
  <si>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</si>
  <si>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</si>
  <si>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</si>
  <si>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</si>
  <si>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</si>
  <si>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</si>
  <si>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</si>
  <si>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</si>
  <si>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</si>
  <si>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</si>
  <si>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</si>
  <si>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</si>
  <si>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</si>
  <si>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</si>
  <si>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</si>
  <si>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</si>
  <si>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</si>
  <si>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</si>
  <si>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</si>
  <si>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</si>
  <si>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</si>
  <si>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</si>
  <si>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</si>
  <si>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</si>
  <si>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</si>
  <si>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</si>
  <si>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</si>
  <si>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</si>
  <si>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</si>
  <si>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</si>
  <si>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</si>
  <si>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</si>
  <si>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</si>
  <si>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</si>
  <si>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</si>
  <si>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</si>
  <si>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</si>
  <si>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</si>
  <si>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</si>
  <si>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</si>
  <si>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</si>
  <si>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</si>
  <si>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</si>
  <si>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</si>
  <si>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</si>
  <si>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</si>
  <si>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</si>
  <si>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</si>
  <si>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</si>
  <si>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</si>
  <si>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</si>
  <si>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</si>
  <si>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</si>
  <si>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</si>
  <si>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</si>
  <si>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</si>
  <si>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</si>
  <si>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</si>
  <si>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</si>
  <si>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</si>
  <si>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</si>
  <si>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</si>
  <si>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</si>
  <si>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</si>
  <si>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</si>
  <si>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</si>
  <si>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</si>
  <si>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</si>
  <si>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</si>
  <si>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</si>
  <si>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</si>
  <si>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</si>
  <si>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</si>
  <si>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</si>
  <si>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</si>
  <si>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</si>
  <si>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</si>
  <si>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</si>
  <si>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</si>
  <si>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</si>
  <si>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</si>
  <si>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</si>
  <si>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</si>
  <si>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</si>
  <si>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</si>
  <si>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</si>
  <si>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</si>
  <si>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</si>
  <si>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</si>
  <si>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</si>
  <si>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</si>
  <si>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</si>
  <si>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</si>
  <si>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</si>
  <si>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</si>
  <si>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</si>
  <si>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</si>
  <si>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</si>
  <si>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</si>
  <si>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</si>
  <si>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</si>
  <si>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</si>
  <si>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</si>
  <si>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</si>
  <si>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</si>
  <si>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</si>
  <si>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</si>
  <si>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</si>
  <si>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</si>
  <si>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</si>
  <si>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</si>
  <si>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</si>
  <si>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</si>
  <si>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</si>
  <si>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</si>
  <si>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</si>
  <si>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</si>
  <si>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</si>
  <si>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</si>
  <si>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</si>
  <si>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</si>
  <si>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</si>
  <si>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</si>
  <si>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</si>
  <si>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</si>
  <si>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</si>
  <si>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</si>
  <si>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</si>
  <si>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</si>
  <si>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</si>
  <si>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</si>
  <si>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</si>
  <si>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</si>
  <si>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</si>
  <si>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</si>
  <si>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</si>
  <si>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</si>
  <si>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</si>
  <si>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</si>
  <si>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</si>
  <si>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</si>
  <si>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</si>
  <si>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</si>
  <si>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</si>
  <si>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</si>
  <si>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</si>
  <si>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</si>
  <si>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</si>
  <si>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</si>
  <si>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</si>
  <si>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</si>
  <si>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</si>
  <si>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</si>
  <si>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</si>
  <si>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</si>
  <si>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</si>
  <si>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</si>
  <si>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</si>
  <si>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</si>
  <si>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</si>
  <si>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</si>
  <si>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</si>
  <si>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</si>
  <si>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</si>
  <si>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</si>
  <si>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</si>
  <si>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</si>
  <si>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</si>
  <si>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</si>
  <si>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</si>
  <si>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</si>
  <si>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</si>
  <si>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</si>
  <si>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</si>
  <si>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</si>
  <si>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</si>
  <si>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</si>
  <si>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</si>
  <si>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</si>
  <si>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</si>
  <si>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</si>
  <si>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</si>
  <si>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</si>
  <si>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</si>
  <si>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</si>
  <si>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</si>
  <si>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</si>
  <si>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</si>
  <si>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</si>
  <si>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</si>
  <si>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</si>
  <si>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</si>
  <si>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</si>
  <si>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</si>
  <si>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</si>
  <si>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</si>
  <si>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</si>
  <si>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</si>
  <si>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</si>
  <si>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</si>
  <si>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</si>
  <si>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</si>
  <si>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</si>
  <si>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</si>
  <si>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</si>
  <si>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</si>
  <si>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</si>
  <si>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</si>
  <si>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</si>
  <si>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</si>
  <si>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</si>
  <si>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</si>
  <si>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</si>
  <si>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</si>
  <si>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</si>
  <si>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</si>
  <si>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</si>
  <si>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</si>
  <si>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</si>
  <si>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</si>
  <si>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</si>
  <si>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</si>
  <si>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</si>
  <si>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</si>
  <si>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</si>
  <si>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</si>
  <si>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</si>
  <si>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</si>
  <si>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</si>
  <si>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</si>
  <si>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</si>
  <si>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</si>
  <si>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</si>
  <si>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</si>
  <si>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</si>
  <si>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</si>
  <si>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</si>
  <si>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</si>
  <si>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</si>
  <si>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</si>
  <si>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</si>
  <si>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</si>
  <si>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</si>
  <si>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</si>
  <si>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</si>
  <si>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</si>
  <si>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</si>
  <si>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</si>
  <si>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</si>
  <si>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</si>
  <si>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</si>
  <si>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</si>
  <si>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</si>
  <si>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</si>
  <si>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</si>
  <si>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</si>
  <si>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</si>
  <si>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</si>
  <si>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</si>
  <si>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</si>
  <si>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</si>
  <si>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</si>
  <si>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</si>
  <si>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</si>
  <si>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</si>
  <si>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</si>
  <si>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</si>
  <si>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</si>
  <si>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</si>
  <si>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</si>
  <si>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</si>
  <si>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</si>
  <si>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</si>
  <si>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</si>
  <si>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</si>
  <si>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</si>
  <si>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</si>
  <si>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</si>
  <si>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</si>
  <si>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</si>
  <si>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</si>
  <si>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</si>
  <si>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</si>
  <si>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</si>
  <si>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</si>
  <si>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</si>
  <si>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</si>
  <si>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</si>
  <si>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</si>
  <si>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</si>
  <si>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</si>
  <si>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</si>
  <si>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</si>
  <si>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</si>
  <si>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</si>
  <si>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</si>
  <si>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</si>
  <si>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</si>
  <si>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</si>
  <si>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</si>
  <si>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</si>
  <si>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</si>
  <si>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</si>
  <si>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</si>
  <si>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</si>
  <si>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</si>
  <si>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</si>
  <si>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</si>
  <si>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</si>
  <si>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</si>
  <si>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</si>
  <si>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</si>
  <si>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</si>
  <si>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</si>
  <si>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</si>
  <si>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</si>
  <si>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</si>
  <si>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</si>
  <si>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</si>
  <si>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</si>
  <si>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</si>
  <si>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</si>
  <si>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</si>
  <si>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</si>
  <si>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</si>
  <si>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</si>
  <si>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</si>
  <si>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</si>
  <si>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</si>
  <si>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</si>
  <si>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</si>
  <si>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</si>
  <si>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</si>
  <si>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</si>
  <si>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</si>
  <si>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</si>
  <si>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</si>
  <si>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</si>
  <si>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</si>
  <si>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</si>
  <si>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</si>
  <si>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</si>
  <si>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</si>
  <si>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</si>
  <si>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</si>
  <si>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</si>
  <si>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</si>
  <si>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</si>
  <si>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</si>
  <si>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</si>
  <si>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</si>
  <si>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</si>
  <si>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</si>
  <si>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</si>
  <si>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</si>
  <si>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</si>
  <si>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</si>
  <si>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</si>
  <si>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</si>
  <si>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</si>
  <si>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</si>
  <si>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</si>
  <si>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</si>
  <si>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</si>
  <si>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</si>
  <si>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</si>
  <si>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</si>
  <si>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</si>
  <si>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</si>
  <si>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</si>
  <si>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</si>
  <si>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</si>
  <si>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</si>
  <si>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</si>
  <si>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</si>
  <si>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</si>
  <si>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</si>
  <si>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</si>
  <si>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</si>
  <si>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</si>
  <si>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</si>
  <si>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</si>
  <si>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</si>
  <si>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</si>
  <si>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</si>
  <si>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</si>
  <si>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</si>
  <si>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</si>
  <si>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</si>
  <si>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</si>
  <si>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</si>
  <si>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</si>
  <si>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</si>
  <si>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</si>
  <si>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</si>
  <si>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</si>
  <si>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</si>
  <si>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</si>
  <si>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</si>
  <si>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</si>
  <si>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</si>
  <si>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</si>
  <si>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</si>
  <si>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</si>
  <si>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</si>
  <si>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</si>
  <si>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</si>
  <si>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</si>
  <si>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</si>
  <si>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</si>
  <si>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</si>
  <si>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</si>
  <si>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</si>
  <si>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</si>
  <si>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</si>
  <si>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</si>
  <si>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</si>
  <si>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</si>
  <si>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</si>
  <si>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</si>
  <si>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</si>
  <si>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</si>
  <si>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</si>
  <si>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</si>
  <si>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</si>
  <si>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</si>
  <si>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</si>
  <si>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</si>
  <si>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</si>
  <si>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</si>
  <si>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</si>
  <si>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</si>
  <si>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</si>
  <si>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</si>
  <si>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</si>
  <si>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</si>
  <si>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</si>
  <si>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</si>
  <si>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</si>
  <si>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</si>
  <si>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</si>
  <si>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</si>
  <si>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</si>
  <si>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</si>
  <si>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</si>
  <si>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</si>
  <si>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</si>
  <si>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</si>
  <si>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</si>
  <si>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</si>
  <si>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</si>
  <si>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</si>
  <si>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</si>
  <si>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</si>
  <si>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</si>
  <si>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</si>
  <si>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</si>
  <si>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</si>
  <si>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</si>
  <si>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</si>
  <si>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</si>
  <si>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</si>
  <si>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</si>
  <si>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</si>
  <si>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</si>
  <si>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</si>
  <si>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</si>
  <si>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</si>
  <si>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</si>
  <si>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</si>
  <si>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</si>
  <si>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</si>
  <si>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</si>
  <si>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</si>
  <si>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</si>
  <si>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</si>
  <si>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</si>
  <si>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</si>
  <si>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</si>
  <si>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</si>
  <si>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</si>
  <si>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</si>
  <si>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</si>
  <si>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</si>
  <si>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</si>
  <si>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</si>
  <si>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</si>
  <si>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</si>
  <si>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</si>
  <si>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</si>
  <si>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</si>
  <si>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</si>
  <si>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</si>
  <si>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</si>
  <si>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</si>
  <si>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</si>
  <si>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</si>
  <si>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</si>
  <si>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</si>
  <si>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</si>
  <si>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</si>
  <si>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</si>
  <si>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</si>
  <si>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</si>
  <si>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</si>
  <si>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</si>
  <si>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</si>
  <si>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</si>
  <si>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</si>
  <si>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</si>
  <si>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</si>
  <si>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</si>
  <si>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</si>
  <si>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</si>
  <si>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</si>
  <si>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</si>
  <si>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</si>
  <si>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</si>
  <si>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</si>
  <si>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</si>
  <si>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</si>
  <si>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</si>
  <si>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</si>
  <si>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</si>
  <si>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</si>
  <si>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</si>
  <si>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</si>
  <si>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</si>
  <si>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</si>
  <si>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</si>
  <si>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</si>
  <si>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</si>
  <si>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</si>
  <si>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</si>
  <si>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</si>
  <si>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</si>
  <si>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</si>
  <si>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</si>
  <si>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</si>
  <si>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</si>
  <si>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</si>
  <si>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</si>
  <si>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</si>
  <si>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</si>
  <si>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</si>
  <si>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</si>
  <si>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</si>
  <si>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</si>
  <si>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</si>
  <si>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</si>
  <si>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</si>
  <si>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</si>
  <si>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</si>
  <si>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</si>
  <si>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</si>
  <si>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</si>
  <si>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</si>
  <si>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</si>
  <si>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</si>
  <si>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</si>
  <si>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</si>
  <si>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</si>
  <si>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</si>
  <si>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</si>
  <si>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</si>
  <si>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</si>
  <si>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</si>
  <si>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</si>
  <si>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</si>
  <si>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</si>
  <si>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</si>
  <si>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</si>
  <si>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</si>
  <si>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</si>
  <si>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</si>
  <si>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</si>
  <si>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</si>
  <si>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</si>
  <si>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</si>
  <si>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</si>
  <si>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</si>
  <si>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</si>
  <si>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</si>
  <si>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</si>
  <si>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</si>
  <si>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</si>
  <si>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</si>
  <si>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</si>
  <si>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</si>
  <si>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</si>
  <si>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</si>
  <si>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</si>
  <si>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</si>
  <si>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</si>
  <si>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</si>
  <si>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</si>
  <si>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</si>
  <si>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</si>
  <si>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</si>
  <si>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</si>
  <si>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</si>
  <si>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</si>
  <si>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</si>
  <si>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</si>
  <si>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</si>
  <si>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</si>
  <si>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</si>
  <si>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</si>
  <si>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</si>
  <si>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</si>
  <si>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</si>
  <si>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</si>
  <si>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</si>
  <si>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</si>
  <si>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</si>
  <si>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</si>
  <si>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</si>
  <si>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</si>
  <si>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</si>
  <si>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</si>
  <si>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</si>
  <si>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</si>
  <si>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</si>
  <si>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</si>
  <si>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</si>
  <si>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</si>
  <si>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</si>
  <si>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</si>
  <si>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</si>
  <si>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</si>
  <si>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</si>
  <si>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</si>
  <si>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</si>
  <si>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</si>
  <si>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</si>
  <si>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</si>
  <si>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</si>
  <si>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</si>
  <si>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</si>
  <si>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</si>
  <si>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</si>
  <si>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</si>
  <si>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</si>
  <si>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</si>
  <si>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</si>
  <si>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</si>
  <si>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</si>
  <si>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</si>
  <si>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</si>
  <si>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</si>
  <si>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</si>
  <si>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</si>
  <si>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</si>
  <si>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</si>
  <si>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</si>
  <si>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</si>
  <si>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</si>
  <si>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</si>
  <si>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</si>
  <si>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</si>
  <si>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</si>
  <si>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</si>
  <si>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</si>
  <si>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</si>
  <si>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</si>
  <si>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</si>
  <si>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</si>
  <si>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</si>
  <si>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</si>
  <si>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</si>
  <si>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</si>
  <si>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</si>
  <si>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</si>
  <si>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</si>
  <si>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</si>
  <si>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</si>
  <si>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</si>
  <si>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</si>
  <si>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</si>
  <si>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</si>
  <si>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</si>
  <si>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</si>
  <si>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</si>
  <si>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</si>
  <si>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</si>
  <si>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</si>
  <si>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</si>
  <si>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</si>
  <si>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</si>
  <si>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</si>
  <si>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</si>
  <si>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</si>
  <si>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</si>
  <si>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</si>
  <si>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</si>
  <si>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</si>
  <si>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</si>
  <si>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</si>
  <si>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</si>
  <si>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</si>
  <si>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</si>
  <si>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</si>
  <si>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</si>
  <si>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</si>
  <si>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</si>
  <si>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</si>
  <si>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</si>
  <si>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</si>
  <si>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</si>
  <si>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</si>
  <si>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</si>
  <si>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</si>
  <si>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</si>
  <si>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</si>
  <si>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</si>
  <si>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</si>
  <si>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</si>
  <si>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</si>
  <si>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</si>
  <si>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</si>
  <si>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</si>
  <si>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</si>
  <si>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</si>
  <si>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</si>
  <si>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</si>
  <si>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</si>
  <si>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</si>
  <si>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</si>
  <si>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</si>
  <si>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</si>
  <si>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</si>
  <si>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</si>
  <si>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</si>
  <si>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</si>
  <si>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</si>
  <si>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</si>
  <si>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</si>
  <si>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</si>
  <si>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</si>
  <si>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</si>
  <si>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</si>
  <si>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</si>
  <si>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</si>
  <si>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</si>
  <si>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</si>
  <si>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</si>
  <si>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</si>
  <si>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</si>
  <si>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</si>
  <si>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</si>
  <si>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</si>
  <si>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</si>
  <si>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</si>
  <si>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</si>
  <si>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</si>
  <si>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</si>
  <si>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</si>
  <si>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</si>
  <si>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</si>
  <si>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</si>
  <si>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</si>
  <si>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</si>
  <si>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</si>
  <si>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</si>
  <si>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</si>
  <si>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</si>
  <si>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</si>
  <si>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</si>
  <si>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</si>
  <si>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</si>
  <si>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</si>
  <si>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</si>
  <si>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</si>
  <si>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</si>
  <si>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</si>
  <si>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</si>
  <si>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</si>
  <si>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</si>
  <si>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</si>
  <si>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</si>
  <si>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</si>
  <si>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</si>
  <si>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</si>
  <si>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</si>
  <si>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</si>
  <si>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</si>
  <si>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</si>
  <si>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</si>
  <si>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</si>
  <si>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</si>
  <si>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</si>
  <si>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</si>
  <si>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</si>
  <si>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</si>
  <si>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</si>
  <si>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</si>
  <si>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</si>
  <si>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</si>
  <si>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</si>
  <si>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</si>
  <si>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</si>
  <si>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</si>
  <si>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</si>
  <si>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</si>
  <si>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</si>
  <si>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</si>
  <si>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</si>
  <si>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</si>
  <si>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</si>
  <si>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</si>
  <si>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</si>
  <si>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</si>
  <si>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</si>
  <si>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</si>
  <si>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</si>
  <si>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</si>
  <si>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</si>
  <si>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</si>
  <si>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</si>
  <si>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</si>
  <si>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</si>
  <si>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</si>
  <si>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</si>
  <si>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</si>
  <si>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</si>
  <si>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</si>
  <si>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</si>
  <si>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</si>
  <si>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</si>
  <si>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</si>
  <si>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</si>
  <si>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</si>
  <si>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</si>
  <si>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</si>
  <si>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</si>
  <si>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</si>
  <si>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</si>
  <si>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</si>
  <si>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</si>
  <si>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</si>
  <si>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</si>
  <si>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</si>
  <si>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</si>
  <si>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</si>
  <si>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</si>
  <si>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</si>
  <si>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</si>
  <si>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</si>
  <si>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</si>
  <si>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</si>
  <si>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</si>
  <si>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</si>
  <si>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</si>
  <si>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</si>
  <si>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</si>
  <si>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</si>
  <si>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</si>
  <si>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</si>
  <si>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</si>
  <si>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</si>
  <si>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</si>
  <si>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</si>
  <si>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</si>
  <si>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</si>
  <si>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</si>
  <si>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</si>
  <si>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</si>
  <si>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</si>
  <si>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</si>
  <si>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</si>
  <si>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</si>
  <si>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</si>
  <si>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</si>
  <si>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</si>
  <si>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</si>
  <si>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</si>
  <si>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</si>
  <si>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</si>
  <si>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</si>
  <si>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</si>
  <si>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</si>
  <si>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</si>
  <si>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</si>
  <si>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</si>
  <si>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</si>
  <si>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</si>
  <si>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</si>
  <si>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</si>
  <si>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</si>
  <si>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</si>
  <si>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</si>
  <si>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</si>
  <si>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</si>
  <si>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</si>
  <si>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</si>
  <si>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</si>
  <si>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</si>
  <si>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</si>
  <si>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</si>
  <si>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</si>
  <si>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</si>
  <si>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</si>
  <si>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</si>
  <si>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</si>
  <si>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</si>
  <si>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</si>
  <si>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</si>
  <si>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</si>
  <si>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</si>
  <si>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</si>
  <si>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</si>
  <si>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</si>
  <si>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</si>
  <si>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</si>
  <si>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</si>
  <si>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</si>
  <si>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</si>
  <si>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</si>
  <si>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</si>
  <si>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</si>
  <si>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</si>
  <si>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</si>
  <si>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</si>
  <si>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</si>
  <si>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</si>
  <si>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</si>
  <si>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</si>
  <si>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</si>
  <si>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</si>
  <si>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</si>
  <si>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</si>
  <si>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</si>
  <si>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</si>
  <si>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</si>
  <si>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</si>
  <si>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</si>
  <si>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</si>
  <si>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</si>
  <si>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</si>
  <si>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</si>
  <si>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</si>
  <si>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</si>
  <si>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</si>
  <si>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</si>
  <si>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</si>
  <si>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</si>
  <si>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</si>
  <si>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</si>
  <si>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</si>
  <si>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</si>
  <si>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</si>
  <si>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</si>
  <si>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</si>
  <si>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</si>
  <si>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</si>
  <si>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</si>
  <si>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</si>
  <si>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</si>
  <si>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</si>
  <si>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</si>
  <si>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</si>
  <si>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</si>
  <si>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</si>
  <si>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</si>
  <si>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</si>
  <si>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</si>
  <si>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</si>
  <si>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</si>
  <si>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</si>
  <si>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</si>
  <si>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</si>
  <si>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</si>
  <si>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</si>
  <si>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</si>
  <si>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</si>
  <si>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</si>
  <si>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</si>
  <si>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</si>
  <si>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</si>
  <si>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</si>
  <si>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</si>
  <si>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</si>
  <si>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</si>
  <si>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</si>
  <si>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</si>
  <si>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</si>
  <si>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</si>
  <si>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</si>
  <si>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</si>
  <si>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</si>
  <si>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</si>
  <si>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</si>
  <si>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</si>
  <si>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</si>
  <si>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</si>
  <si>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</si>
  <si>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</si>
  <si>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</si>
  <si>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</si>
  <si>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</si>
  <si>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</si>
  <si>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</si>
  <si>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</si>
  <si>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</si>
  <si>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</si>
  <si>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</si>
  <si>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</si>
  <si>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</si>
  <si>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</si>
  <si>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</si>
  <si>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</si>
  <si>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</si>
  <si>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</si>
  <si>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</si>
  <si>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</si>
  <si>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</si>
  <si>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</si>
  <si>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</si>
  <si>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</si>
  <si>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</si>
  <si>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</si>
  <si>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</si>
  <si>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</si>
  <si>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</si>
  <si>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</si>
  <si>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</si>
  <si>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</si>
  <si>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</si>
  <si>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</si>
  <si>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</si>
  <si>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</si>
  <si>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</si>
  <si>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</si>
  <si>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</si>
  <si>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</si>
  <si>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</si>
  <si>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</si>
  <si>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</si>
  <si>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</si>
  <si>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</si>
  <si>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</si>
  <si>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</si>
  <si>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</si>
  <si>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</si>
  <si>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</si>
  <si>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</si>
  <si>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</si>
  <si>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</si>
  <si>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</si>
  <si>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</si>
  <si>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</si>
  <si>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</si>
  <si>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</si>
  <si>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</si>
  <si>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</si>
  <si>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</si>
  <si>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</si>
  <si>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</si>
  <si>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</si>
  <si>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</si>
  <si>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</si>
  <si>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</si>
  <si>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</si>
  <si>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</si>
  <si>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</si>
  <si>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</si>
  <si>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</si>
  <si>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</si>
  <si>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</si>
  <si>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</si>
  <si>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</si>
  <si>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</si>
  <si>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</si>
  <si>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</si>
  <si>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</si>
  <si>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</si>
  <si>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</si>
  <si>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</si>
  <si>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</si>
  <si>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</si>
  <si>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</si>
  <si>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</si>
  <si>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</si>
  <si>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</si>
  <si>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</si>
  <si>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</si>
  <si>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</si>
  <si>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</si>
  <si>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</si>
  <si>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</si>
  <si>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</si>
  <si>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</si>
  <si>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</si>
  <si>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</si>
  <si>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</si>
  <si>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</si>
  <si>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</si>
  <si>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</si>
  <si>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</si>
  <si>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</si>
  <si>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</si>
  <si>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</si>
  <si>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</si>
  <si>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</si>
  <si>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</si>
  <si>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</si>
  <si>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</si>
  <si>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</si>
  <si>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</si>
  <si>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</si>
  <si>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</si>
  <si>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</si>
  <si>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</si>
  <si>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</si>
  <si>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</si>
  <si>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</si>
  <si>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</si>
  <si>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</si>
  <si>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</si>
  <si>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</si>
  <si>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</si>
  <si>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</si>
  <si>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</si>
  <si>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</si>
  <si>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</si>
  <si>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</si>
  <si>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</si>
  <si>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</si>
  <si>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</si>
  <si>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</si>
  <si>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</si>
  <si>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</si>
  <si>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</si>
  <si>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</si>
  <si>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</si>
  <si>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</si>
  <si>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</si>
  <si>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</si>
  <si>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</si>
  <si>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</si>
  <si>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</si>
  <si>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</si>
  <si>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</si>
  <si>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</si>
  <si>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</si>
  <si>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</si>
  <si>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</si>
  <si>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</si>
  <si>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</si>
  <si>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</si>
  <si>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</si>
  <si>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</si>
  <si>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</si>
  <si>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</si>
  <si>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</si>
  <si>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</si>
  <si>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</si>
  <si>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</si>
  <si>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</si>
  <si>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</si>
  <si>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</si>
  <si>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</si>
  <si>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</si>
  <si>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</si>
  <si>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</si>
  <si>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</si>
  <si>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</si>
  <si>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</si>
  <si>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</si>
  <si>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</si>
  <si>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</si>
  <si>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</si>
  <si>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</si>
  <si>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</si>
  <si>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</si>
  <si>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</si>
  <si>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</si>
  <si>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</si>
  <si>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</si>
  <si>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</si>
  <si>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</si>
  <si>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</si>
  <si>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</si>
  <si>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</si>
  <si>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</si>
  <si>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</si>
  <si>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</si>
  <si>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</si>
  <si>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</si>
  <si>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</si>
  <si>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</si>
  <si>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</si>
  <si>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</si>
  <si>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</si>
  <si>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</si>
  <si>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</si>
  <si>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</si>
  <si>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</si>
  <si>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</si>
  <si>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</si>
  <si>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</si>
  <si>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</si>
  <si>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</si>
  <si>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</si>
  <si>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</si>
  <si>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</si>
  <si>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</si>
  <si>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</si>
  <si>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</si>
  <si>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</si>
  <si>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</si>
  <si>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</si>
  <si>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</si>
  <si>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</si>
  <si>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</si>
  <si>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</si>
  <si>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</si>
  <si>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</si>
  <si>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</si>
  <si>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</si>
  <si>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</si>
  <si>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</si>
  <si>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</si>
  <si>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</si>
  <si>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</si>
  <si>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</si>
  <si>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</si>
  <si>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</si>
  <si>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</si>
  <si>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</si>
  <si>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</si>
  <si>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</si>
  <si>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</si>
  <si>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</si>
  <si>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</si>
  <si>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</si>
  <si>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</si>
  <si>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</si>
  <si>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</si>
  <si>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</si>
  <si>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</si>
  <si>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</si>
  <si>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</si>
  <si>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</si>
  <si>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</si>
  <si>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</si>
  <si>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</si>
  <si>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</si>
  <si>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</si>
  <si>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</si>
  <si>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</si>
  <si>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</si>
  <si>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</si>
  <si>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</si>
  <si>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</si>
  <si>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</si>
  <si>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</si>
  <si>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</si>
  <si>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</si>
  <si>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</si>
  <si>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</si>
  <si>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</si>
  <si>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</si>
  <si>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</si>
  <si>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</si>
  <si>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</si>
  <si>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</si>
  <si>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</si>
  <si>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</si>
  <si>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</si>
  <si>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</si>
  <si>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</si>
  <si>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</si>
  <si>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</si>
  <si>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</si>
  <si>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</si>
  <si>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</si>
  <si>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</si>
  <si>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</si>
  <si>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</si>
  <si>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</si>
  <si>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</si>
  <si>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</si>
  <si>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</si>
  <si>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</si>
  <si>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</si>
  <si>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</si>
  <si>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</si>
  <si>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</si>
  <si>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</si>
  <si>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</si>
  <si>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</si>
  <si>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</si>
  <si>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</si>
  <si>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</si>
  <si>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</si>
  <si>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</si>
  <si>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</si>
  <si>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</si>
  <si>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</si>
  <si>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</si>
  <si>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</si>
  <si>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</si>
  <si>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</si>
  <si>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</si>
  <si>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</si>
  <si>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</si>
  <si>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</si>
  <si>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</si>
  <si>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</si>
  <si>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</si>
  <si>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</si>
  <si>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</si>
  <si>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</si>
  <si>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</si>
  <si>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</si>
  <si>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</si>
  <si>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</si>
  <si>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</si>
  <si>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</si>
  <si>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</si>
  <si>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</si>
  <si>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</si>
  <si>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</si>
  <si>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</si>
  <si>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</si>
  <si>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</si>
  <si>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</si>
  <si>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</si>
  <si>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</si>
  <si>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</si>
  <si>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</si>
  <si>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</si>
  <si>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</si>
  <si>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</si>
  <si>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</si>
  <si>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</si>
  <si>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</si>
  <si>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</si>
  <si>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</si>
  <si>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</si>
  <si>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</si>
  <si>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</si>
  <si>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</si>
  <si>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</si>
  <si>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</si>
  <si>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</si>
  <si>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</si>
  <si>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</si>
  <si>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</si>
  <si>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</si>
  <si>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</si>
  <si>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</si>
  <si>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</si>
  <si>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</si>
  <si>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</si>
  <si>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</si>
  <si>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</si>
  <si>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</si>
  <si>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</si>
  <si>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</si>
  <si>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</si>
  <si>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</si>
  <si>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</si>
  <si>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</si>
  <si>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</si>
  <si>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</si>
  <si>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</si>
  <si>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</si>
  <si>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</si>
  <si>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</si>
  <si>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</si>
  <si>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</si>
  <si>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</si>
  <si>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</si>
  <si>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</si>
  <si>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</si>
  <si>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</si>
  <si>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</si>
  <si>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</si>
  <si>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</si>
  <si>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</si>
  <si>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</si>
  <si>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</si>
  <si>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</si>
  <si>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</si>
  <si>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</si>
  <si>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</si>
  <si>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</si>
  <si>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</si>
  <si>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</si>
  <si>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</si>
  <si>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</si>
  <si>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</si>
  <si>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</si>
  <si>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</si>
  <si>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</si>
  <si>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</si>
  <si>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</si>
  <si>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</si>
  <si>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</si>
  <si>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</si>
  <si>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</si>
  <si>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</si>
  <si>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</si>
  <si>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</si>
  <si>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</si>
  <si>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</si>
  <si>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</si>
  <si>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</si>
  <si>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</si>
  <si>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</si>
  <si>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</si>
  <si>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</si>
  <si>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</si>
  <si>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</si>
  <si>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</si>
  <si>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</si>
  <si>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</si>
  <si>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</si>
  <si>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</si>
  <si>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</si>
  <si>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</si>
  <si>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</si>
  <si>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</si>
  <si>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</si>
  <si>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</si>
  <si>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</si>
  <si>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</si>
  <si>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</si>
  <si>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</si>
  <si>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</si>
  <si>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</si>
  <si>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</si>
  <si>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</si>
  <si>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</si>
  <si>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</si>
  <si>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</si>
  <si>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</si>
  <si>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</si>
  <si>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</si>
  <si>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</si>
  <si>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</si>
  <si>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</si>
  <si>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</si>
  <si>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</si>
  <si>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</si>
  <si>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</si>
  <si>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</si>
  <si>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</si>
  <si>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</si>
  <si>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</si>
  <si>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</si>
  <si>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</si>
  <si>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</si>
  <si>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</si>
  <si>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</si>
  <si>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</si>
  <si>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</si>
  <si>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</si>
  <si>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</si>
  <si>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</si>
  <si>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</si>
  <si>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</si>
  <si>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</si>
  <si>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</si>
  <si>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</si>
  <si>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</si>
  <si>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</si>
  <si>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</si>
  <si>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</si>
  <si>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</si>
  <si>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</si>
  <si>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</si>
  <si>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</si>
  <si>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</si>
  <si>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</si>
  <si>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</si>
  <si>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</si>
  <si>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</si>
  <si>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</si>
  <si>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</si>
  <si>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</si>
  <si>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</si>
  <si>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</si>
  <si>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</si>
  <si>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</si>
  <si>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</si>
  <si>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</si>
  <si>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</si>
  <si>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</si>
  <si>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</si>
  <si>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</si>
  <si>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</si>
  <si>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</si>
  <si>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</si>
  <si>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</si>
  <si>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</si>
  <si>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</si>
  <si>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</si>
  <si>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</si>
  <si>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</si>
  <si>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</si>
  <si>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</si>
  <si>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</si>
  <si>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</si>
  <si>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</si>
  <si>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</si>
  <si>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</si>
  <si>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</si>
  <si>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</si>
  <si>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</si>
  <si>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</si>
  <si>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</si>
  <si>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</si>
  <si>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</si>
  <si>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</si>
  <si>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</si>
  <si>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</si>
  <si>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</si>
  <si>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</si>
  <si>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</si>
  <si>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</si>
  <si>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</si>
  <si>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</si>
  <si>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</si>
  <si>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</si>
  <si>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</si>
  <si>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</si>
  <si>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</si>
  <si>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</si>
  <si>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</si>
  <si>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</si>
  <si>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</si>
  <si>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</si>
  <si>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</si>
  <si>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</si>
  <si>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</si>
  <si>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</si>
  <si>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</si>
  <si>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</si>
  <si>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</si>
  <si>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</si>
  <si>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</si>
  <si>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</si>
  <si>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</si>
  <si>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</si>
  <si>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</si>
  <si>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</si>
  <si>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</si>
  <si>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</si>
  <si>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</si>
  <si>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</si>
  <si>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</si>
  <si>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</si>
  <si>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</si>
  <si>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</si>
  <si>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</si>
  <si>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</si>
  <si>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</si>
  <si>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</si>
  <si>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</si>
  <si>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</si>
  <si>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</si>
  <si>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</si>
  <si>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</si>
  <si>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</si>
  <si>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</si>
  <si>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</si>
  <si>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</si>
  <si>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</si>
  <si>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</si>
  <si>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</si>
  <si>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</si>
  <si>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</si>
  <si>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</si>
  <si>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</si>
  <si>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</si>
  <si>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</si>
  <si>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</si>
  <si>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</si>
  <si>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</si>
  <si>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</si>
  <si>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</si>
  <si>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</si>
  <si>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</si>
  <si>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</si>
  <si>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</si>
  <si>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</si>
  <si>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</si>
  <si>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</si>
  <si>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</si>
  <si>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</si>
  <si>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</si>
  <si>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</si>
  <si>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</si>
  <si>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</si>
  <si>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</si>
  <si>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</si>
  <si>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</si>
  <si>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</si>
  <si>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</si>
  <si>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</si>
  <si>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</si>
  <si>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</si>
  <si>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</si>
  <si>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</si>
  <si>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</si>
  <si>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</si>
  <si>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</si>
  <si>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</si>
  <si>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</si>
  <si>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</si>
  <si>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</si>
  <si>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</si>
  <si>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</si>
  <si>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</si>
  <si>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</si>
  <si>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</si>
  <si>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</si>
  <si>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</si>
  <si>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</si>
  <si>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</si>
  <si>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</si>
  <si>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</si>
  <si>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</si>
  <si>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</si>
  <si>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</si>
  <si>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</si>
  <si>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</si>
  <si>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</si>
  <si>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</si>
  <si>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</si>
  <si>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</si>
  <si>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</si>
  <si>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</si>
  <si>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</si>
  <si>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</si>
  <si>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</si>
  <si>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</si>
  <si>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</si>
  <si>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</si>
  <si>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</si>
  <si>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</si>
  <si>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</si>
  <si>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</si>
  <si>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</si>
  <si>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</si>
  <si>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</si>
  <si>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</si>
  <si>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</si>
  <si>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</si>
  <si>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</si>
  <si>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</si>
  <si>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</si>
  <si>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</si>
  <si>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</si>
  <si>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</si>
  <si>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</si>
  <si>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</si>
  <si>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</si>
  <si>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</si>
  <si>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</si>
  <si>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</si>
  <si>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</si>
  <si>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</si>
  <si>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</si>
  <si>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</si>
  <si>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</si>
  <si>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</si>
  <si>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</si>
  <si>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</si>
  <si>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</si>
  <si>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</si>
  <si>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</si>
  <si>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</si>
  <si>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</si>
  <si>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</si>
  <si>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</si>
  <si>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</si>
  <si>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</si>
  <si>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</si>
  <si>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</si>
  <si>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</si>
  <si>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</si>
  <si>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</si>
  <si>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</si>
  <si>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</si>
  <si>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</si>
  <si>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</si>
  <si>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</si>
  <si>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</si>
  <si>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</si>
  <si>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</si>
  <si>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</si>
  <si>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</si>
  <si>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</si>
  <si>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</si>
  <si>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</si>
  <si>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</si>
  <si>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</si>
  <si>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</si>
  <si>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</si>
  <si>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</si>
  <si>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</si>
  <si>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</si>
  <si>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</si>
  <si>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</si>
  <si>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</si>
  <si>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</si>
  <si>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</si>
  <si>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</si>
  <si>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</si>
  <si>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</si>
  <si>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</si>
  <si>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</si>
  <si>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</si>
  <si>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</si>
  <si>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</si>
  <si>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</si>
  <si>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</si>
  <si>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</si>
  <si>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</si>
  <si>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</si>
  <si>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</si>
  <si>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</si>
  <si>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</si>
  <si>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</si>
  <si>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</si>
  <si>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</si>
  <si>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</si>
  <si>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</si>
  <si>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</si>
  <si>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</si>
  <si>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</si>
  <si>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</si>
  <si>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</si>
  <si>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</si>
  <si>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</si>
  <si>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</si>
  <si>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</si>
  <si>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</si>
  <si>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</si>
  <si>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</si>
  <si>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</si>
  <si>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</si>
  <si>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</si>
  <si>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</si>
  <si>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</si>
  <si>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</si>
  <si>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</si>
  <si>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</si>
  <si>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</si>
  <si>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</si>
  <si>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</si>
  <si>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</si>
  <si>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</si>
  <si>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</si>
  <si>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</si>
  <si>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</si>
  <si>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</si>
  <si>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</si>
  <si>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</si>
  <si>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</si>
  <si>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</si>
  <si>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</si>
  <si>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</si>
  <si>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</si>
  <si>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</si>
  <si>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</si>
  <si>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</si>
  <si>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</si>
  <si>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</si>
  <si>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</si>
  <si>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</si>
  <si>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</si>
  <si>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</si>
  <si>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</si>
  <si>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</si>
  <si>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</si>
  <si>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</si>
  <si>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</si>
  <si>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</si>
  <si>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</si>
  <si>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</si>
  <si>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</si>
  <si>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</si>
  <si>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</si>
  <si>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</si>
  <si>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</si>
  <si>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</si>
  <si>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</si>
  <si>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</si>
  <si>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</si>
  <si>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</si>
  <si>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</si>
  <si>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</si>
  <si>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</si>
  <si>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</si>
  <si>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</si>
  <si>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</si>
  <si>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</si>
  <si>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</si>
  <si>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</si>
  <si>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</si>
  <si>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</si>
  <si>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</si>
  <si>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</si>
  <si>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</si>
  <si>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</si>
  <si>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</si>
  <si>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</si>
  <si>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</si>
  <si>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</si>
  <si>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</si>
  <si>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</si>
  <si>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</si>
  <si>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</si>
  <si>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</si>
  <si>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</si>
  <si>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</si>
  <si>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</si>
  <si>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</si>
  <si>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</si>
  <si>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</si>
  <si>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</si>
  <si>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</si>
  <si>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</si>
  <si>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</si>
  <si>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</si>
  <si>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</si>
  <si>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</si>
  <si>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</si>
  <si>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</si>
  <si>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</si>
  <si>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</si>
  <si>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</si>
  <si>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</si>
  <si>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</si>
  <si>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</si>
  <si>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</si>
  <si>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</si>
  <si>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</si>
  <si>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</si>
  <si>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</si>
  <si>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</si>
  <si>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</si>
  <si>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</si>
  <si>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</si>
  <si>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</si>
  <si>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</si>
  <si>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</si>
  <si>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</si>
  <si>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</si>
  <si>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</si>
  <si>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</si>
  <si>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</si>
  <si>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</si>
  <si>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</si>
  <si>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</si>
  <si>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</si>
  <si>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</si>
  <si>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</si>
  <si>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</si>
  <si>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</si>
  <si>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</si>
  <si>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</si>
  <si>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</si>
  <si>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</si>
  <si>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</si>
  <si>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</si>
  <si>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</si>
  <si>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</si>
  <si>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</si>
  <si>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</si>
  <si>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</si>
  <si>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</si>
  <si>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</si>
  <si>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</si>
  <si>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</si>
  <si>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</si>
  <si>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</si>
  <si>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</si>
  <si>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</si>
  <si>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</si>
  <si>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</si>
  <si>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</si>
  <si>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</si>
  <si>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</si>
  <si>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</si>
  <si>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</si>
  <si>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</si>
  <si>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</si>
  <si>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</si>
  <si>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</si>
  <si>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</si>
  <si>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</si>
  <si>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</si>
  <si>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</si>
  <si>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</si>
  <si>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</si>
  <si>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</si>
  <si>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</si>
  <si>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</si>
  <si>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</si>
  <si>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</si>
  <si>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</si>
  <si>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</si>
  <si>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</si>
  <si>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</si>
  <si>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</si>
  <si>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</si>
  <si>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</si>
  <si>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</si>
  <si>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</si>
  <si>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</si>
  <si>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</si>
  <si>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</si>
  <si>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</si>
  <si>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</si>
  <si>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</si>
  <si>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</si>
  <si>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</si>
  <si>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</si>
  <si>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</si>
  <si>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</si>
  <si>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</si>
  <si>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</si>
  <si>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</si>
  <si>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</si>
  <si>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</si>
  <si>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</si>
  <si>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</si>
  <si>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</si>
  <si>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</si>
  <si>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</si>
  <si>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</si>
  <si>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</si>
  <si>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</si>
  <si>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</si>
  <si>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</si>
  <si>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</si>
  <si>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</si>
  <si>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</si>
  <si>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</si>
  <si>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</si>
  <si>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</si>
  <si>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</si>
  <si>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</si>
  <si>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</si>
  <si>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</si>
  <si>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</si>
  <si>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</si>
  <si>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</si>
  <si>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</si>
  <si>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</si>
  <si>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</si>
  <si>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</si>
  <si>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</si>
  <si>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</si>
  <si>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</si>
  <si>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</si>
  <si>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</si>
  <si>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</si>
  <si>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</si>
  <si>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</si>
  <si>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</si>
  <si>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</si>
  <si>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</si>
  <si>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</si>
  <si>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</si>
  <si>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</si>
  <si>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</si>
  <si>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</si>
  <si>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</si>
  <si>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</si>
  <si>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</si>
  <si>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</si>
  <si>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</si>
  <si>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</si>
  <si>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</si>
  <si>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</si>
  <si>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</si>
  <si>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</si>
  <si>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</si>
  <si>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</si>
  <si>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</si>
  <si>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</si>
  <si>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</si>
  <si>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</si>
  <si>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</si>
  <si>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</si>
  <si>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</si>
  <si>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</si>
  <si>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</si>
  <si>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</si>
  <si>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</si>
  <si>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</si>
  <si>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</si>
  <si>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</si>
  <si>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</si>
  <si>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</si>
  <si>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</si>
  <si>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</si>
  <si>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</si>
  <si>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</si>
  <si>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</si>
  <si>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</si>
  <si>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</si>
  <si>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</si>
  <si>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</si>
  <si>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</si>
  <si>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</si>
  <si>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</si>
  <si>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</si>
  <si>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</si>
  <si>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</si>
  <si>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</si>
  <si>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</si>
  <si>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</si>
  <si>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</si>
  <si>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</si>
  <si>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</si>
  <si>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</si>
  <si>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</si>
  <si>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</si>
  <si>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</si>
  <si>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</si>
  <si>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</si>
  <si>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</si>
  <si>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</si>
  <si>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</si>
  <si>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</si>
  <si>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</si>
  <si>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</si>
  <si>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</si>
  <si>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</si>
  <si>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</si>
  <si>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</si>
  <si>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</si>
  <si>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</si>
  <si>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</si>
  <si>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</si>
  <si>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</si>
  <si>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</si>
  <si>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</si>
  <si>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</si>
  <si>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</si>
  <si>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</si>
  <si>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</si>
  <si>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</si>
  <si>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</si>
  <si>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</si>
  <si>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</si>
  <si>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</si>
  <si>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</si>
  <si>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</si>
  <si>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</si>
  <si>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</si>
  <si>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</si>
  <si>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</si>
  <si>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</si>
  <si>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</si>
  <si>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</si>
  <si>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</si>
  <si>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</si>
  <si>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</si>
  <si>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</si>
  <si>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</si>
  <si>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</si>
  <si>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</si>
  <si>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</si>
  <si>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</si>
  <si>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</si>
  <si>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</si>
  <si>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</si>
  <si>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</si>
  <si>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</si>
  <si>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</si>
  <si>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</si>
  <si>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</si>
  <si>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</si>
  <si>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</si>
  <si>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</si>
  <si>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</si>
  <si>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</si>
  <si>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</si>
  <si>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</si>
  <si>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</si>
  <si>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</si>
  <si>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</si>
  <si>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</si>
  <si>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</si>
  <si>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</si>
  <si>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</si>
  <si>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</si>
  <si>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</si>
  <si>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</si>
  <si>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</si>
  <si>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</si>
  <si>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</si>
  <si>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</si>
  <si>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</si>
  <si>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</si>
  <si>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</si>
  <si>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</si>
  <si>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</si>
  <si>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</si>
  <si>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</si>
  <si>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</si>
  <si>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</si>
  <si>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</si>
  <si>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</si>
  <si>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</si>
  <si>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</si>
  <si>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</si>
  <si>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</si>
  <si>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</si>
  <si>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</si>
  <si>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</si>
  <si>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</si>
  <si>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</si>
  <si>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</si>
  <si>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</si>
  <si>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</si>
  <si>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</si>
  <si>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</si>
  <si>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</si>
  <si>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</si>
  <si>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</si>
  <si>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</si>
  <si>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</si>
  <si>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</si>
  <si>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</si>
  <si>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</si>
  <si>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</si>
  <si>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</si>
  <si>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</si>
  <si>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</si>
  <si>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</si>
  <si>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</si>
  <si>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</si>
  <si>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</si>
  <si>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</si>
  <si>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</si>
  <si>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</si>
  <si>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</si>
  <si>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</si>
  <si>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</si>
  <si>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</si>
  <si>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</si>
  <si>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</si>
  <si>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</si>
  <si>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</si>
  <si>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</si>
  <si>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</si>
  <si>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</si>
  <si>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</si>
  <si>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</si>
  <si>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</si>
  <si>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</si>
  <si>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</si>
  <si>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</si>
  <si>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</si>
  <si>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</si>
  <si>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</si>
  <si>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</si>
  <si>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</si>
  <si>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</si>
  <si>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</si>
  <si>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</si>
  <si>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</si>
  <si>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</si>
  <si>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</si>
  <si>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</si>
  <si>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</si>
  <si>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</si>
  <si>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</si>
  <si>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</si>
  <si>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</si>
  <si>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</si>
  <si>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</si>
  <si>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</si>
  <si>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</si>
  <si>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</si>
  <si>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</si>
  <si>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</si>
  <si>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</si>
  <si>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</si>
  <si>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</si>
  <si>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</si>
  <si>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</si>
  <si>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</si>
  <si>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</si>
  <si>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</si>
  <si>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</si>
  <si>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</si>
  <si>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</si>
  <si>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</si>
  <si>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</si>
  <si>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</si>
  <si>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</si>
  <si>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</si>
  <si>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</si>
  <si>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</si>
  <si>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</si>
  <si>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</si>
  <si>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</si>
  <si>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</si>
  <si>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</si>
  <si>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</si>
  <si>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</si>
  <si>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</si>
  <si>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</si>
  <si>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</si>
  <si>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</si>
  <si>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</si>
  <si>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</si>
  <si>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</si>
  <si>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</si>
  <si>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</si>
  <si>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</si>
  <si>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</si>
  <si>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</si>
  <si>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</si>
  <si>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</si>
  <si>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</si>
  <si>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</si>
  <si>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</si>
  <si>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</si>
  <si>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</si>
  <si>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</si>
  <si>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</si>
  <si>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</si>
  <si>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</si>
  <si>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</si>
  <si>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</si>
  <si>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</si>
  <si>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</si>
  <si>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</si>
  <si>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</si>
  <si>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</si>
  <si>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</si>
  <si>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</si>
  <si>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</si>
  <si>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</si>
  <si>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</si>
  <si>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</si>
  <si>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</si>
  <si>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</si>
  <si>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</si>
  <si>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</si>
  <si>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</si>
  <si>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</si>
  <si>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</si>
  <si>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</si>
  <si>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</si>
  <si>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</si>
  <si>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</si>
  <si>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</si>
  <si>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</si>
  <si>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</si>
  <si>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</si>
  <si>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</si>
  <si>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</si>
  <si>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</si>
  <si>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</si>
  <si>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</si>
  <si>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</si>
  <si>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</si>
  <si>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</si>
  <si>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</si>
  <si>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</si>
  <si>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</si>
  <si>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</si>
  <si>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</si>
  <si>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</si>
  <si>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</si>
  <si>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</si>
  <si>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</si>
  <si>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</si>
  <si>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</si>
  <si>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</si>
  <si>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</si>
  <si>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</si>
  <si>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</si>
  <si>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</si>
  <si>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</si>
  <si>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</si>
  <si>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</si>
  <si>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</si>
  <si>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</si>
  <si>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</si>
  <si>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</si>
  <si>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</si>
  <si>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</si>
  <si>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</si>
  <si>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</si>
  <si>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</si>
  <si>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</si>
  <si>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</si>
  <si>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</si>
  <si>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</si>
  <si>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</si>
  <si>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</si>
  <si>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</si>
  <si>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</si>
  <si>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</si>
  <si>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</si>
  <si>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</si>
  <si>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</si>
  <si>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</si>
  <si>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</si>
  <si>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</si>
  <si>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</si>
  <si>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</si>
  <si>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</si>
  <si>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</si>
  <si>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</si>
  <si>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</si>
  <si>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</si>
  <si>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</si>
  <si>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</si>
  <si>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</si>
  <si>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</si>
  <si>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</si>
  <si>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</si>
  <si>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</si>
  <si>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</si>
  <si>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</si>
  <si>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</si>
  <si>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</si>
  <si>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</si>
  <si>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</si>
  <si>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</si>
  <si>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</si>
  <si>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</si>
  <si>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</si>
  <si>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</si>
  <si>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</si>
  <si>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</si>
  <si>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</si>
  <si>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</si>
  <si>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</si>
  <si>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</si>
  <si>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</si>
  <si>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</si>
  <si>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</si>
  <si>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</si>
  <si>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</si>
  <si>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</si>
  <si>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</si>
  <si>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</si>
  <si>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</si>
  <si>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</si>
  <si>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</si>
  <si>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</si>
  <si>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</si>
  <si>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</si>
  <si>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</si>
  <si>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</si>
  <si>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</si>
  <si>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</si>
  <si>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</si>
  <si>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</si>
  <si>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</si>
  <si>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</si>
  <si>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</si>
  <si>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</si>
  <si>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</si>
  <si>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</si>
  <si>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</si>
  <si>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</si>
  <si>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</si>
  <si>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</si>
  <si>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</si>
  <si>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</si>
  <si>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</si>
  <si>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</si>
  <si>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</si>
  <si>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</si>
  <si>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</si>
  <si>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</si>
  <si>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</si>
  <si>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</si>
  <si>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</si>
  <si>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</si>
  <si>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</si>
  <si>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</si>
  <si>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</si>
  <si>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</si>
  <si>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</si>
  <si>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</si>
  <si>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</si>
  <si>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</si>
  <si>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</si>
  <si>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</si>
  <si>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</si>
  <si>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</si>
  <si>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</si>
  <si>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</si>
  <si>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</si>
  <si>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</si>
  <si>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</si>
  <si>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</si>
  <si>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</si>
  <si>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</si>
  <si>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</si>
  <si>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</si>
  <si>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</si>
  <si>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</si>
  <si>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</si>
  <si>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</si>
  <si>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</si>
  <si>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</si>
  <si>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</si>
  <si>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</si>
  <si>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</si>
  <si>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</si>
  <si>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</si>
  <si>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</si>
  <si>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</si>
  <si>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</si>
  <si>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</si>
  <si>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</si>
  <si>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</si>
  <si>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</si>
  <si>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</si>
  <si>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</si>
  <si>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</si>
  <si>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</si>
  <si>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</si>
  <si>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</si>
  <si>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</si>
  <si>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</si>
  <si>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</si>
  <si>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</si>
  <si>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</si>
  <si>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</si>
  <si>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</si>
  <si>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</si>
  <si>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</si>
  <si>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</si>
  <si>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</si>
  <si>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</si>
  <si>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</si>
  <si>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</si>
  <si>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</si>
  <si>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</si>
  <si>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</si>
  <si>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</si>
  <si>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</si>
  <si>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</si>
  <si>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</si>
  <si>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</si>
  <si>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</si>
  <si>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</si>
  <si>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</si>
  <si>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</si>
  <si>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</si>
  <si>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</si>
  <si>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</si>
  <si>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</si>
  <si>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</si>
  <si>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</si>
  <si>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</si>
  <si>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</si>
  <si>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</si>
  <si>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</si>
  <si>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</si>
  <si>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</si>
  <si>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</si>
  <si>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</si>
  <si>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</si>
  <si>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</si>
  <si>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</si>
  <si>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</si>
  <si>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</si>
  <si>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</si>
  <si>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</si>
  <si>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</si>
  <si>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</si>
  <si>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</si>
  <si>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</si>
  <si>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</si>
  <si>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</si>
  <si>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</si>
  <si>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</si>
  <si>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</si>
  <si>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</si>
  <si>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</si>
  <si>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</si>
  <si>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</si>
  <si>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</si>
  <si>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</si>
  <si>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</si>
  <si>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</si>
  <si>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</si>
  <si>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</si>
  <si>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</si>
  <si>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</si>
  <si>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</si>
  <si>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</si>
  <si>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</si>
  <si>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</si>
  <si>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</si>
  <si>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</si>
  <si>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</si>
  <si>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</si>
  <si>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</si>
  <si>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</si>
  <si>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</si>
  <si>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</si>
  <si>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</si>
  <si>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</si>
  <si>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</si>
  <si>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</si>
  <si>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</si>
  <si>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</si>
  <si>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</si>
  <si>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</si>
  <si>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</si>
  <si>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</si>
  <si>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</si>
  <si>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</si>
  <si>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</si>
  <si>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</si>
  <si>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</si>
  <si>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</si>
  <si>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</si>
  <si>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</si>
  <si>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</si>
  <si>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</si>
  <si>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</si>
  <si>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</si>
  <si>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</si>
  <si>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</si>
  <si>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</si>
  <si>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</si>
  <si>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</si>
  <si>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</si>
  <si>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</si>
  <si>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</si>
  <si>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</si>
  <si>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</si>
  <si>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</si>
  <si>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</si>
  <si>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</si>
  <si>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</si>
  <si>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</si>
  <si>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</si>
  <si>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</si>
  <si>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</si>
  <si>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</si>
  <si>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</si>
  <si>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</si>
  <si>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</si>
  <si>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</si>
  <si>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</si>
  <si>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</si>
  <si>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</si>
  <si>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</si>
  <si>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</si>
  <si>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</si>
  <si>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</si>
  <si>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</si>
  <si>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</si>
  <si>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</si>
  <si>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</si>
  <si>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</si>
  <si>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</si>
  <si>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</si>
  <si>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</si>
  <si>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</si>
  <si>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</si>
  <si>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</si>
  <si>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</si>
  <si>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</si>
  <si>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</si>
  <si>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</si>
  <si>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</si>
  <si>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</si>
  <si>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</si>
  <si>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</si>
  <si>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</si>
  <si>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</si>
  <si>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</si>
  <si>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</si>
  <si>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</si>
  <si>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</si>
  <si>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</si>
  <si>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</si>
  <si>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</si>
  <si>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</si>
  <si>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</si>
  <si>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</si>
  <si>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</si>
  <si>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</si>
  <si>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</si>
  <si>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</si>
  <si>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</si>
  <si>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</si>
  <si>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</si>
  <si>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</si>
  <si>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</si>
  <si>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</si>
  <si>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</si>
  <si>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</si>
  <si>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</si>
  <si>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</si>
  <si>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</si>
  <si>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</si>
  <si>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</si>
  <si>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</si>
  <si>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</si>
  <si>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</si>
  <si>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</si>
  <si>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</si>
  <si>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</si>
  <si>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</si>
  <si>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</si>
  <si>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</si>
  <si>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</si>
  <si>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</si>
  <si>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</si>
  <si>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</si>
  <si>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</si>
  <si>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</si>
  <si>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</si>
  <si>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</si>
  <si>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</si>
  <si>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</si>
  <si>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</si>
  <si>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</si>
  <si>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</si>
  <si>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</si>
  <si>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</si>
  <si>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</si>
  <si>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</si>
  <si>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</si>
  <si>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</si>
  <si>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</si>
  <si>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</si>
  <si>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</si>
  <si>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</si>
  <si>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</si>
  <si>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</si>
  <si>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</si>
  <si>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</si>
  <si>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</si>
  <si>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</si>
  <si>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</si>
  <si>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</si>
  <si>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</si>
  <si>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</si>
  <si>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</si>
  <si>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</si>
  <si>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</si>
  <si>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</si>
  <si>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</si>
  <si>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</si>
  <si>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</si>
  <si>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</si>
  <si>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</si>
  <si>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</si>
  <si>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</si>
  <si>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</si>
  <si>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</si>
  <si>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</si>
  <si>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</si>
  <si>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</si>
  <si>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</si>
  <si>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</si>
  <si>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</si>
  <si>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</si>
  <si>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</si>
  <si>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</si>
  <si>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</si>
  <si>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</si>
  <si>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</si>
  <si>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</si>
  <si>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</si>
  <si>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</si>
  <si>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</si>
  <si>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</si>
  <si>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</si>
  <si>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</si>
  <si>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</si>
  <si>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</si>
  <si>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</si>
  <si>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</si>
  <si>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</si>
  <si>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</si>
  <si>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</si>
  <si>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</si>
  <si>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</si>
  <si>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</si>
  <si>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</si>
  <si>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</si>
  <si>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</si>
  <si>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</si>
  <si>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</si>
  <si>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</si>
  <si>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</si>
  <si>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</si>
  <si>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</si>
  <si>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</si>
  <si>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</si>
  <si>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</si>
  <si>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</si>
  <si>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</si>
  <si>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</si>
  <si>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</si>
  <si>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</si>
  <si>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</si>
  <si>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</si>
  <si>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</si>
  <si>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</si>
  <si>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</si>
  <si>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</si>
  <si>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</si>
  <si>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</si>
  <si>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</si>
  <si>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</si>
  <si>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</si>
  <si>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</si>
  <si>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</si>
  <si>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</si>
  <si>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</si>
  <si>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</si>
  <si>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</si>
  <si>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</si>
  <si>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</si>
  <si>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</si>
  <si>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</si>
  <si>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</si>
  <si>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</si>
  <si>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</si>
  <si>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</si>
  <si>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</si>
  <si>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</si>
  <si>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</si>
  <si>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</si>
  <si>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</si>
  <si>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</si>
  <si>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</si>
  <si>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</si>
  <si>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</si>
  <si>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</si>
  <si>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</si>
  <si>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</si>
  <si>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</si>
  <si>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</si>
  <si>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</si>
  <si>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</si>
  <si>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</si>
  <si>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</si>
  <si>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</si>
  <si>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</si>
  <si>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</si>
  <si>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</si>
  <si>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</si>
  <si>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</si>
  <si>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</si>
  <si>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</si>
  <si>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</si>
  <si>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</si>
  <si>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</si>
  <si>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</si>
  <si>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</si>
  <si>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</si>
  <si>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</si>
  <si>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</si>
  <si>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</si>
  <si>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</si>
  <si>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</si>
  <si>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</si>
  <si>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</si>
  <si>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</si>
  <si>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</si>
  <si>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</si>
  <si>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</si>
  <si>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</si>
  <si>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</si>
  <si>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</si>
  <si>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</si>
  <si>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</si>
  <si>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</si>
  <si>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</si>
  <si>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</si>
  <si>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</si>
  <si>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</si>
  <si>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</si>
  <si>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</si>
  <si>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</si>
  <si>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</si>
  <si>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</si>
  <si>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</si>
  <si>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</si>
  <si>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</si>
  <si>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</si>
  <si>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</si>
  <si>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</si>
  <si>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</si>
  <si>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</si>
  <si>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</si>
  <si>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</si>
  <si>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</si>
  <si>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</si>
  <si>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</si>
  <si>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</si>
  <si>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</si>
  <si>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</si>
  <si>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</si>
  <si>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</si>
  <si>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</si>
  <si>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</si>
  <si>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</si>
  <si>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</si>
  <si>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</si>
  <si>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</si>
  <si>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</si>
  <si>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</si>
  <si>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</si>
  <si>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</si>
  <si>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</si>
  <si>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</si>
  <si>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</si>
  <si>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</si>
  <si>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</si>
  <si>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</si>
  <si>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</si>
  <si>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</si>
  <si>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</si>
  <si>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</si>
  <si>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</si>
  <si>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</si>
  <si>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</si>
  <si>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</si>
  <si>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</si>
  <si>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</si>
  <si>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</si>
  <si>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</si>
  <si>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</si>
  <si>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</si>
  <si>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</si>
  <si>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</si>
  <si>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</si>
  <si>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</si>
  <si>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</si>
  <si>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</si>
  <si>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</si>
  <si>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</si>
  <si>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</si>
  <si>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</si>
  <si>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</si>
  <si>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</si>
  <si>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</si>
  <si>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</si>
  <si>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</si>
  <si>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</si>
  <si>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</si>
  <si>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</si>
  <si>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</si>
  <si>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</si>
  <si>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</si>
  <si>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</si>
  <si>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</si>
  <si>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</si>
  <si>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</si>
  <si>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</si>
  <si>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</si>
  <si>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</si>
  <si>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</si>
  <si>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</si>
  <si>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</si>
  <si>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</si>
  <si>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</si>
  <si>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</si>
  <si>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</si>
  <si>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</si>
  <si>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</si>
  <si>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</si>
  <si>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</si>
  <si>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</si>
  <si>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</si>
  <si>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</si>
  <si>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</si>
  <si>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</si>
  <si>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</si>
  <si>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</si>
  <si>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</si>
  <si>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</si>
  <si>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</si>
  <si>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</si>
  <si>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</si>
  <si>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</si>
  <si>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</si>
  <si>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</si>
  <si>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</si>
  <si>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</si>
  <si>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</si>
  <si>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</si>
  <si>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</si>
  <si>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</si>
  <si>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</si>
  <si>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</si>
  <si>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</si>
  <si>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</si>
  <si>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</si>
  <si>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</si>
  <si>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</si>
  <si>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</si>
  <si>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</si>
  <si>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</si>
  <si>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</si>
  <si>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</si>
  <si>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</si>
  <si>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</si>
  <si>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</si>
  <si>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</si>
  <si>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</si>
  <si>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</si>
  <si>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</si>
  <si>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</si>
  <si>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</si>
  <si>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</si>
  <si>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</si>
  <si>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</si>
  <si>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</si>
  <si>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</si>
  <si>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</si>
  <si>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</si>
  <si>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</si>
  <si>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</si>
  <si>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</si>
  <si>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</si>
  <si>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</si>
  <si>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</si>
  <si>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</si>
  <si>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</si>
  <si>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</si>
  <si>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</si>
  <si>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</si>
  <si>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</si>
  <si>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</si>
  <si>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</si>
  <si>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</si>
  <si>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</si>
  <si>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</si>
  <si>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</si>
  <si>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</si>
  <si>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</si>
  <si>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</si>
  <si>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</si>
  <si>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</si>
  <si>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</si>
  <si>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</si>
  <si>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</si>
  <si>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</si>
  <si>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</si>
  <si>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</si>
  <si>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</si>
  <si>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</si>
  <si>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</si>
  <si>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</si>
  <si>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</si>
  <si>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</si>
  <si>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</si>
  <si>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</si>
  <si>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</si>
  <si>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</si>
  <si>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</si>
  <si>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</si>
  <si>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</si>
  <si>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</si>
  <si>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</si>
  <si>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</si>
  <si>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</si>
  <si>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</si>
  <si>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</si>
  <si>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</si>
  <si>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</si>
  <si>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</si>
  <si>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</si>
  <si>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</si>
  <si>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</si>
  <si>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</si>
  <si>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</si>
  <si>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</si>
  <si>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</si>
  <si>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</si>
  <si>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</si>
  <si>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</si>
  <si>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</si>
  <si>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</si>
  <si>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</si>
  <si>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</si>
  <si>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</si>
  <si>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</si>
  <si>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</si>
  <si>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</si>
  <si>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</si>
  <si>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</si>
  <si>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</si>
  <si>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</si>
  <si>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</si>
  <si>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</si>
  <si>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</si>
  <si>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</si>
  <si>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</si>
  <si>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</si>
  <si>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</si>
  <si>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</si>
  <si>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</si>
  <si>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</si>
  <si>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</si>
  <si>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</si>
  <si>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</si>
  <si>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</si>
  <si>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</si>
  <si>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</si>
  <si>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</si>
  <si>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</si>
  <si>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</si>
  <si>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</si>
  <si>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</si>
  <si>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</si>
  <si>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</si>
  <si>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</si>
  <si>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</si>
  <si>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</si>
  <si>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</si>
  <si>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</si>
  <si>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</si>
  <si>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</si>
  <si>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</si>
  <si>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</si>
  <si>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</si>
  <si>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</si>
  <si>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</si>
  <si>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</si>
  <si>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</si>
  <si>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</si>
  <si>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</si>
  <si>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</si>
  <si>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</si>
  <si>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</si>
  <si>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</si>
  <si>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</si>
  <si>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</si>
  <si>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</si>
  <si>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</si>
  <si>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</si>
  <si>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</si>
  <si>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</si>
  <si>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</si>
  <si>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</si>
  <si>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</si>
  <si>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</si>
  <si>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</si>
  <si>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</si>
  <si>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</si>
  <si>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</si>
  <si>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</si>
  <si>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</si>
  <si>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</si>
  <si>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</si>
  <si>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</si>
  <si>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</si>
  <si>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</si>
  <si>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</si>
  <si>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</si>
  <si>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</si>
  <si>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</si>
  <si>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</si>
  <si>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</si>
  <si>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</si>
  <si>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</si>
  <si>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</si>
  <si>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</si>
  <si>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</si>
  <si>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</si>
  <si>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</si>
  <si>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</si>
  <si>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</si>
  <si>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</si>
  <si>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</si>
  <si>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</si>
  <si>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</si>
  <si>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</si>
  <si>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</si>
  <si>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</si>
  <si>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</si>
  <si>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</si>
  <si>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</si>
  <si>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</si>
  <si>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</si>
  <si>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</si>
  <si>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</si>
  <si>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</si>
  <si>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</si>
  <si>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</si>
  <si>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</si>
  <si>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</si>
  <si>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</si>
  <si>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</si>
  <si>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</si>
  <si>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</si>
  <si>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</si>
  <si>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</si>
  <si>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</si>
  <si>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</si>
  <si>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</si>
  <si>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</si>
  <si>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</si>
  <si>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</si>
  <si>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</si>
  <si>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</si>
  <si>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</si>
  <si>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</si>
  <si>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</si>
  <si>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</si>
  <si>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</si>
  <si>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</si>
  <si>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</si>
  <si>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</si>
  <si>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</si>
  <si>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</si>
  <si>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</si>
  <si>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</si>
  <si>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</si>
  <si>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</si>
  <si>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</si>
  <si>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</si>
  <si>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</si>
  <si>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</si>
  <si>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</si>
  <si>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</si>
  <si>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</si>
  <si>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</si>
  <si>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</si>
  <si>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</si>
  <si>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</si>
  <si>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</si>
  <si>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</si>
  <si>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</si>
  <si>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</si>
  <si>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</si>
  <si>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</si>
  <si>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</si>
  <si>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</si>
  <si>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</si>
  <si>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</si>
  <si>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</si>
  <si>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</si>
  <si>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</si>
  <si>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</si>
  <si>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</si>
  <si>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</si>
  <si>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</si>
  <si>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</si>
  <si>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</si>
  <si>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</si>
  <si>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</si>
  <si>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</si>
  <si>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</si>
  <si>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</si>
  <si>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</si>
  <si>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</si>
  <si>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</si>
  <si>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</si>
  <si>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</si>
  <si>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</si>
  <si>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</si>
  <si>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</si>
  <si>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</si>
  <si>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</si>
  <si>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</si>
  <si>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</si>
  <si>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</si>
  <si>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</si>
  <si>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</si>
  <si>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</si>
  <si>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</si>
  <si>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</si>
  <si>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</si>
  <si>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</si>
  <si>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</si>
  <si>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</si>
  <si>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</si>
  <si>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</si>
  <si>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</si>
  <si>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</si>
  <si>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</si>
  <si>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</si>
  <si>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</si>
  <si>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</si>
  <si>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</si>
  <si>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</si>
  <si>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</si>
  <si>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</si>
  <si>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</si>
  <si>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</si>
  <si>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</si>
  <si>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</si>
  <si>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</si>
  <si>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</si>
  <si>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</si>
  <si>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</si>
  <si>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</si>
  <si>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</si>
  <si>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</si>
  <si>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</si>
  <si>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</si>
  <si>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</si>
  <si>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</si>
  <si>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</si>
  <si>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</si>
  <si>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</si>
  <si>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</si>
  <si>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</si>
  <si>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</si>
  <si>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</si>
  <si>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</si>
  <si>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</si>
  <si>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</si>
  <si>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</si>
  <si>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</si>
  <si>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</si>
  <si>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</si>
  <si>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</si>
  <si>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</si>
  <si>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</si>
  <si>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</si>
  <si>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</si>
  <si>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</si>
  <si>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</si>
  <si>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</si>
  <si>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</si>
  <si>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</si>
  <si>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</si>
  <si>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</si>
  <si>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</si>
  <si>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</si>
  <si>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</si>
  <si>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</si>
  <si>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</si>
  <si>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</si>
  <si>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</si>
  <si>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</si>
  <si>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</si>
  <si>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</si>
  <si>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</si>
  <si>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</si>
  <si>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</si>
  <si>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</si>
  <si>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</si>
  <si>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</si>
  <si>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</si>
  <si>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</si>
  <si>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</si>
  <si>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</si>
  <si>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</si>
  <si>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</si>
  <si>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</si>
  <si>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</si>
  <si>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</si>
  <si>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</si>
  <si>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</si>
  <si>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</si>
  <si>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</si>
  <si>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</si>
  <si>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</si>
  <si>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</si>
  <si>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</si>
  <si>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</si>
  <si>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</si>
  <si>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</si>
  <si>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</si>
  <si>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</si>
  <si>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</si>
  <si>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</si>
  <si>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</si>
  <si>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</si>
  <si>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</si>
  <si>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</si>
  <si>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</si>
  <si>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</si>
  <si>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</si>
  <si>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</si>
  <si>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</si>
  <si>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</si>
  <si>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</si>
  <si>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</si>
  <si>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</si>
  <si>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</si>
  <si>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</si>
  <si>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</si>
  <si>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</si>
  <si>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</si>
  <si>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</si>
  <si>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</si>
  <si>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</si>
  <si>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</si>
  <si>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</si>
  <si>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</si>
  <si>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</si>
  <si>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</si>
  <si>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</si>
  <si>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</si>
  <si>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</si>
  <si>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</si>
  <si>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</si>
  <si>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</si>
  <si>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</si>
  <si>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</si>
  <si>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</si>
  <si>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</si>
  <si>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</si>
  <si>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</si>
  <si>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</si>
  <si>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</si>
  <si>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</si>
  <si>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</si>
  <si>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</si>
  <si>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</si>
  <si>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</si>
  <si>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</si>
  <si>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</si>
  <si>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</si>
  <si>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</si>
  <si>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</si>
  <si>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</si>
  <si>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</si>
  <si>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</si>
  <si>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</si>
  <si>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</si>
  <si>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</si>
  <si>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</si>
  <si>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</si>
  <si>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</si>
  <si>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</si>
  <si>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</si>
  <si>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</si>
  <si>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</si>
  <si>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</si>
  <si>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</si>
  <si>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</si>
  <si>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</si>
  <si>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</si>
  <si>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</si>
  <si>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</si>
  <si>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</si>
  <si>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</si>
  <si>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</si>
  <si>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</si>
  <si>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</si>
  <si>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</si>
  <si>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</si>
  <si>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</si>
  <si>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</si>
  <si>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</si>
  <si>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</si>
  <si>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</si>
  <si>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</si>
  <si>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</si>
  <si>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</si>
  <si>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</si>
  <si>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</si>
  <si>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</si>
  <si>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</si>
  <si>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</si>
  <si>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</si>
  <si>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</si>
  <si>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</si>
  <si>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</si>
  <si>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</si>
  <si>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</si>
  <si>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</si>
  <si>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</si>
  <si>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</si>
  <si>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</si>
  <si>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</si>
  <si>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</si>
  <si>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</si>
  <si>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</si>
  <si>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</si>
  <si>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</si>
  <si>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</si>
  <si>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</si>
  <si>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</si>
  <si>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</si>
  <si>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</si>
  <si>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</si>
  <si>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</si>
  <si>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</si>
  <si>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</si>
  <si>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</si>
  <si>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</si>
  <si>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</si>
  <si>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</si>
  <si>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</si>
  <si>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</si>
  <si>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</si>
  <si>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</si>
  <si>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</si>
  <si>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</si>
  <si>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</si>
  <si>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</si>
  <si>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</si>
  <si>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</si>
  <si>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</si>
  <si>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</si>
  <si>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</si>
  <si>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</si>
  <si>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</si>
  <si>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</si>
  <si>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</si>
  <si>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</si>
  <si>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</si>
  <si>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</si>
  <si>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</si>
  <si>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</si>
  <si>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</si>
  <si>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</si>
  <si>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</si>
  <si>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</si>
  <si>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</si>
  <si>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</si>
  <si>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</si>
  <si>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</si>
  <si>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</si>
  <si>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</si>
  <si>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</si>
  <si>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</si>
  <si>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</si>
  <si>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</si>
  <si>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</si>
  <si>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</si>
  <si>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</si>
  <si>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</si>
  <si>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</si>
  <si>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</si>
  <si>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</si>
  <si>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</si>
  <si>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</si>
  <si>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</si>
  <si>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</si>
  <si>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</si>
  <si>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</si>
  <si>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</si>
  <si>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</si>
  <si>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</si>
  <si>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</si>
  <si>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</si>
  <si>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</si>
  <si>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</si>
  <si>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</si>
  <si>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</si>
  <si>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</si>
  <si>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</si>
  <si>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</si>
  <si>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</si>
  <si>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</si>
  <si>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</si>
  <si>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</si>
  <si>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</si>
  <si>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</si>
  <si>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</si>
  <si>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</si>
  <si>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</si>
  <si>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</si>
  <si>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</si>
  <si>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</si>
  <si>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</si>
  <si>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</si>
  <si>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</si>
  <si>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</si>
  <si>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</si>
  <si>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</si>
  <si>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</si>
  <si>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</si>
  <si>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</si>
  <si>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</si>
  <si>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</si>
  <si>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</si>
  <si>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</si>
  <si>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</si>
  <si>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</si>
  <si>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</si>
  <si>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</si>
  <si>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</si>
  <si>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</si>
  <si>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</si>
  <si>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</si>
  <si>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</si>
  <si>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</si>
  <si>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</si>
  <si>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</si>
  <si>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</si>
  <si>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</si>
  <si>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</si>
  <si>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</si>
  <si>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</si>
  <si>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</si>
  <si>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</si>
  <si>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</si>
  <si>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</si>
  <si>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</si>
  <si>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</si>
  <si>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</si>
  <si>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</si>
  <si>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</si>
  <si>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</si>
  <si>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</si>
  <si>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</si>
  <si>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</si>
  <si>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</si>
  <si>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</si>
  <si>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</si>
  <si>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</si>
  <si>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</si>
  <si>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</si>
  <si>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</si>
  <si>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</si>
  <si>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</si>
  <si>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</si>
  <si>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</si>
  <si>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</si>
  <si>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</si>
  <si>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</si>
  <si>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</si>
  <si>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</si>
  <si>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</si>
  <si>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</si>
  <si>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</si>
  <si>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</si>
  <si>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</si>
  <si>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</si>
  <si>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</si>
  <si>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</si>
  <si>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</si>
  <si>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</si>
  <si>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</si>
  <si>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</si>
  <si>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</si>
  <si>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</si>
  <si>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</si>
  <si>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</si>
  <si>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</si>
  <si>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</si>
  <si>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</si>
  <si>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</si>
  <si>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</si>
  <si>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</si>
  <si>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</si>
  <si>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</si>
  <si>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</si>
  <si>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</si>
  <si>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</si>
  <si>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</si>
  <si>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</si>
  <si>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</si>
  <si>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</si>
  <si>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</si>
  <si>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</si>
  <si>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</si>
  <si>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</si>
  <si>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</si>
  <si>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</si>
  <si>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</si>
  <si>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</si>
  <si>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</si>
  <si>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</si>
  <si>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</si>
  <si>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</si>
  <si>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</si>
  <si>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</si>
  <si>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</si>
  <si>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</si>
  <si>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</si>
  <si>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</si>
  <si>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</si>
  <si>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</si>
  <si>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</si>
  <si>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</si>
  <si>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</si>
  <si>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</si>
  <si>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</si>
  <si>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</si>
  <si>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</si>
  <si>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</si>
  <si>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</si>
  <si>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</si>
  <si>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</si>
  <si>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</si>
  <si>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</si>
  <si>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</si>
  <si>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</si>
  <si>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</si>
  <si>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</si>
  <si>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</si>
  <si>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</si>
  <si>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</si>
  <si>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</si>
  <si>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</si>
  <si>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</si>
  <si>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</si>
  <si>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</si>
  <si>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</si>
  <si>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</si>
  <si>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</si>
  <si>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</si>
  <si>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</si>
  <si>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</si>
  <si>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</si>
  <si>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</si>
  <si>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</si>
  <si>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</si>
  <si>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</si>
  <si>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</si>
  <si>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</si>
  <si>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</si>
  <si>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</si>
  <si>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</si>
  <si>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</si>
  <si>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</si>
  <si>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</si>
  <si>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</si>
  <si>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</si>
  <si>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</si>
  <si>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</si>
  <si>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</si>
  <si>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</si>
  <si>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</si>
  <si>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</si>
  <si>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</si>
  <si>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</si>
  <si>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</si>
  <si>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</si>
  <si>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</si>
  <si>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</si>
  <si>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</si>
  <si>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</si>
  <si>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</si>
  <si>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</si>
  <si>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</si>
  <si>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</si>
  <si>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</si>
  <si>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</si>
  <si>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</si>
  <si>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</si>
  <si>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</si>
  <si>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</si>
  <si>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</si>
  <si>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</si>
  <si>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</si>
  <si>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</si>
  <si>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</si>
  <si>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</si>
  <si>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</si>
  <si>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</si>
  <si>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</si>
  <si>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</si>
  <si>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</si>
  <si>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</si>
  <si>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</si>
  <si>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</si>
  <si>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</si>
  <si>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</si>
  <si>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</si>
  <si>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</si>
  <si>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</si>
  <si>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</si>
  <si>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</si>
  <si>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</si>
  <si>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</si>
  <si>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</si>
  <si>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</si>
  <si>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</si>
  <si>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</si>
  <si>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</si>
  <si>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</si>
  <si>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</si>
  <si>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</si>
  <si>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</si>
  <si>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</si>
  <si>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</si>
  <si>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</si>
  <si>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</si>
  <si>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</si>
  <si>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</si>
  <si>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</si>
  <si>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</si>
  <si>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</si>
  <si>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</si>
  <si>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</si>
  <si>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</si>
  <si>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</si>
  <si>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</si>
  <si>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</si>
  <si>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</si>
  <si>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</si>
  <si>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</si>
  <si>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</si>
  <si>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</si>
  <si>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</si>
  <si>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</si>
  <si>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</si>
  <si>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</si>
  <si>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</si>
  <si>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</si>
  <si>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</si>
  <si>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</si>
  <si>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</si>
  <si>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</si>
  <si>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</si>
  <si>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</si>
  <si>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</si>
  <si>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</si>
  <si>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</si>
  <si>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</si>
  <si>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</si>
  <si>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</si>
  <si>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</si>
  <si>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</si>
  <si>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</si>
  <si>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</si>
  <si>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</si>
  <si>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</si>
  <si>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</si>
  <si>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</si>
  <si>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</si>
  <si>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</si>
  <si>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</si>
  <si>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</si>
  <si>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</si>
  <si>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</si>
  <si>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</si>
  <si>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</si>
  <si>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</si>
  <si>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</si>
  <si>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</si>
  <si>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</si>
  <si>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</si>
  <si>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</si>
  <si>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</si>
  <si>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</si>
  <si>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</si>
  <si>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</si>
  <si>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</si>
  <si>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</si>
  <si>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</si>
  <si>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</si>
  <si>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</si>
  <si>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</si>
  <si>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</si>
  <si>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</si>
  <si>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</si>
  <si>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</si>
  <si>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</si>
  <si>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</si>
  <si>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</si>
  <si>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</si>
  <si>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</si>
  <si>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</si>
  <si>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</si>
  <si>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</si>
  <si>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</si>
  <si>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</si>
  <si>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</si>
  <si>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</si>
  <si>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</si>
  <si>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</si>
  <si>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</si>
  <si>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</si>
  <si>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</si>
  <si>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</si>
  <si>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</si>
  <si>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</si>
  <si>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</si>
  <si>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</si>
  <si>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</si>
  <si>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</si>
  <si>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</si>
  <si>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</si>
  <si>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</si>
  <si>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</si>
  <si>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</si>
  <si>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</si>
  <si>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</si>
  <si>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</si>
  <si>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</si>
  <si>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</si>
  <si>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</si>
  <si>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</si>
  <si>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</si>
  <si>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</si>
  <si>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</si>
  <si>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</si>
  <si>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</si>
  <si>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</si>
  <si>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</si>
  <si>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</si>
  <si>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</si>
  <si>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</si>
  <si>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</si>
  <si>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</si>
  <si>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</si>
  <si>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</si>
  <si>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</si>
  <si>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</si>
  <si>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</si>
  <si>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</si>
  <si>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</si>
  <si>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</si>
  <si>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</si>
  <si>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</si>
  <si>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</si>
  <si>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</si>
  <si>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</si>
  <si>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</si>
  <si>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</si>
  <si>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</si>
  <si>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</si>
  <si>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</si>
  <si>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</si>
  <si>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</si>
  <si>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</si>
  <si>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</si>
  <si>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</si>
  <si>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</si>
  <si>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</si>
  <si>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</si>
  <si>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</si>
  <si>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</si>
  <si>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</si>
  <si>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</si>
  <si>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</si>
  <si>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</si>
  <si>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</si>
  <si>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</si>
  <si>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</si>
  <si>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</si>
  <si>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</si>
  <si>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</si>
  <si>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</si>
  <si>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</si>
  <si>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</si>
  <si>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</si>
  <si>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</si>
  <si>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</si>
  <si>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</si>
  <si>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</si>
  <si>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</si>
  <si>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</si>
  <si>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</si>
  <si>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</si>
  <si>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</si>
  <si>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</si>
  <si>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</si>
  <si>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</si>
  <si>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</si>
  <si>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</si>
  <si>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</si>
  <si>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</si>
  <si>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</si>
  <si>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</si>
  <si>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</si>
  <si>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</si>
  <si>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</si>
  <si>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</si>
  <si>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</si>
  <si>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</si>
  <si>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</si>
  <si>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</si>
  <si>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</si>
  <si>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</si>
  <si>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</si>
  <si>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</si>
  <si>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</si>
  <si>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</si>
  <si>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</si>
  <si>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</si>
  <si>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</si>
  <si>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</si>
  <si>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</si>
  <si>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</si>
  <si>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</si>
  <si>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</si>
  <si>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</si>
  <si>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</si>
  <si>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</si>
  <si>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</si>
  <si>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</si>
  <si>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</si>
  <si>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</si>
  <si>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</si>
  <si>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</si>
  <si>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</si>
  <si>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</si>
  <si>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</si>
  <si>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</si>
  <si>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</si>
  <si>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</si>
  <si>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</si>
  <si>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</si>
  <si>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</si>
  <si>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</si>
  <si>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</si>
  <si>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</si>
  <si>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</si>
  <si>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</si>
  <si>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</si>
  <si>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</si>
  <si>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</si>
  <si>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</si>
  <si>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</si>
  <si>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</si>
  <si>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</si>
  <si>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</si>
  <si>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</si>
  <si>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</si>
  <si>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</si>
  <si>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</si>
  <si>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</si>
  <si>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</si>
  <si>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</si>
  <si>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</si>
  <si>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</si>
  <si>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</si>
  <si>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</si>
  <si>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</si>
  <si>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</si>
  <si>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</si>
  <si>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</si>
  <si>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</si>
  <si>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</si>
  <si>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</si>
  <si>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</si>
  <si>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</si>
  <si>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</si>
  <si>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</si>
  <si>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</si>
  <si>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</si>
  <si>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</si>
  <si>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</si>
  <si>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</si>
  <si>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</si>
  <si>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</si>
  <si>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</si>
  <si>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</si>
  <si>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</si>
  <si>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</si>
  <si>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</si>
  <si>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</si>
  <si>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</si>
  <si>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</si>
  <si>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</si>
  <si>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</si>
  <si>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</si>
  <si>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</si>
  <si>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</si>
  <si>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</si>
  <si>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</si>
  <si>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</si>
  <si>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</si>
  <si>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</si>
  <si>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</si>
  <si>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</si>
  <si>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</si>
  <si>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</si>
  <si>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</si>
  <si>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</si>
  <si>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</si>
  <si>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</si>
  <si>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</si>
  <si>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</si>
  <si>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</si>
  <si>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</si>
  <si>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</si>
  <si>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</si>
  <si>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</si>
  <si>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</si>
  <si>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</si>
  <si>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</si>
  <si>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</si>
  <si>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</si>
  <si>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</si>
  <si>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</si>
  <si>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</si>
  <si>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</si>
  <si>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</si>
  <si>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</si>
  <si>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</si>
  <si>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</si>
  <si>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</si>
  <si>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</si>
  <si>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</si>
  <si>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</si>
  <si>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</si>
  <si>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</si>
  <si>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</si>
  <si>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</si>
  <si>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</si>
  <si>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</si>
  <si>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</si>
  <si>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</si>
  <si>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</si>
  <si>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</si>
  <si>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</si>
  <si>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</si>
  <si>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</si>
  <si>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</si>
  <si>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</si>
  <si>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</si>
  <si>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</si>
  <si>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</si>
  <si>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</si>
  <si>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</si>
  <si>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</si>
  <si>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</si>
  <si>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</si>
  <si>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</si>
  <si>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</si>
  <si>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</si>
  <si>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</si>
  <si>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</si>
  <si>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</si>
  <si>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</si>
  <si>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</si>
  <si>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</si>
  <si>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</si>
  <si>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</si>
  <si>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</si>
  <si>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</si>
  <si>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</si>
  <si>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</si>
  <si>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</si>
  <si>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</si>
  <si>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</si>
  <si>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</si>
  <si>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</si>
  <si>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</si>
  <si>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</si>
  <si>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</si>
  <si>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</si>
  <si>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</si>
  <si>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</si>
  <si>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</si>
  <si>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</si>
  <si>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</si>
  <si>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</si>
  <si>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</si>
  <si>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</si>
  <si>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</si>
  <si>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</si>
  <si>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</si>
  <si>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</si>
  <si>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</si>
  <si>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</si>
  <si>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</si>
  <si>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</si>
  <si>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</si>
  <si>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</si>
  <si>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</si>
  <si>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</si>
  <si>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</si>
  <si>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</si>
  <si>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</si>
  <si>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</si>
  <si>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</si>
  <si>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</si>
  <si>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</si>
  <si>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</si>
  <si>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</si>
  <si>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</si>
  <si>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</si>
  <si>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</si>
  <si>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</si>
  <si>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</si>
  <si>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</si>
  <si>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</si>
  <si>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</si>
  <si>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</si>
  <si>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</si>
  <si>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</si>
  <si>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</si>
  <si>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</si>
  <si>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</si>
  <si>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</si>
  <si>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</si>
  <si>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</si>
  <si>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</si>
  <si>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</si>
  <si>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</si>
  <si>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</si>
  <si>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</si>
  <si>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</si>
  <si>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</si>
  <si>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</si>
  <si>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</si>
  <si>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</si>
  <si>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</si>
  <si>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</si>
  <si>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</si>
  <si>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</si>
  <si>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</si>
  <si>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</si>
  <si>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</si>
  <si>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</si>
  <si>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</si>
  <si>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</si>
  <si>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</si>
  <si>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</si>
  <si>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</si>
  <si>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</si>
  <si>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</si>
  <si>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</si>
  <si>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</si>
  <si>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</si>
  <si>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</si>
  <si>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</si>
  <si>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</si>
  <si>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</si>
  <si>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</si>
  <si>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</si>
  <si>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</si>
  <si>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</si>
  <si>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</si>
  <si>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</si>
  <si>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</si>
  <si>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</si>
  <si>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</si>
  <si>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</si>
  <si>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</si>
  <si>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</si>
  <si>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</si>
  <si>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</si>
  <si>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</si>
  <si>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</si>
  <si>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</si>
  <si>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</si>
  <si>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</si>
  <si>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</si>
  <si>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</si>
  <si>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</si>
  <si>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</si>
  <si>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</si>
  <si>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</si>
  <si>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</si>
  <si>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</si>
  <si>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</si>
  <si>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</si>
  <si>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</si>
  <si>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</si>
  <si>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</si>
  <si>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</si>
  <si>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</si>
  <si>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</si>
  <si>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</si>
  <si>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</si>
  <si>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</si>
  <si>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</si>
  <si>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</si>
  <si>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</si>
  <si>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</si>
  <si>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</si>
  <si>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</si>
  <si>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</si>
  <si>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</si>
  <si>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</si>
  <si>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</si>
  <si>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</si>
  <si>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</si>
  <si>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</si>
  <si>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</si>
  <si>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</si>
  <si>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</si>
  <si>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</si>
  <si>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</si>
  <si>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</si>
  <si>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</si>
  <si>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</si>
  <si>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</si>
  <si>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</si>
  <si>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</si>
  <si>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</si>
  <si>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</si>
  <si>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</si>
  <si>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</si>
  <si>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</si>
  <si>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</si>
  <si>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</si>
  <si>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</si>
  <si>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</si>
  <si>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</si>
  <si>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</si>
  <si>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</si>
  <si>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</si>
  <si>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</si>
  <si>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</si>
  <si>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</si>
  <si>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</si>
  <si>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</si>
  <si>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</si>
  <si>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</si>
  <si>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</si>
  <si>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</si>
  <si>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</si>
  <si>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</si>
  <si>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</si>
  <si>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</si>
  <si>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</si>
  <si>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</si>
  <si>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</si>
  <si>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</si>
  <si>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</si>
  <si>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</si>
  <si>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</si>
  <si>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</si>
  <si>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</si>
  <si>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</si>
  <si>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</si>
  <si>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</si>
  <si>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</si>
  <si>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</si>
  <si>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</si>
  <si>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</si>
  <si>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</si>
  <si>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</si>
  <si>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</si>
  <si>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</si>
  <si>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</si>
  <si>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</si>
  <si>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</si>
  <si>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</si>
  <si>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</si>
  <si>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</si>
  <si>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</si>
  <si>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</si>
  <si>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</si>
  <si>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</si>
  <si>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</si>
  <si>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</si>
  <si>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</si>
  <si>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</si>
  <si>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</si>
  <si>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</si>
  <si>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</si>
  <si>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</si>
  <si>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</si>
  <si>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</si>
  <si>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</si>
  <si>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</si>
  <si>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</si>
  <si>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</si>
  <si>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</si>
  <si>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</si>
  <si>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</si>
  <si>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</si>
  <si>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</si>
  <si>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</si>
  <si>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</si>
  <si>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</si>
  <si>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</si>
  <si>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</si>
  <si>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</si>
  <si>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</si>
  <si>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</si>
  <si>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</si>
  <si>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</si>
  <si>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</si>
  <si>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</si>
  <si>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</si>
  <si>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</si>
  <si>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</si>
  <si>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</si>
  <si>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</si>
  <si>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</si>
  <si>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</si>
  <si>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</si>
  <si>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</si>
  <si>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</si>
  <si>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</si>
  <si>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</si>
  <si>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</si>
  <si>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</si>
  <si>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</si>
  <si>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</si>
  <si>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</si>
  <si>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</si>
  <si>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</si>
  <si>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</si>
  <si>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</si>
  <si>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</si>
  <si>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</si>
  <si>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</si>
  <si>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</si>
  <si>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</si>
  <si>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</si>
  <si>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</si>
  <si>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</si>
  <si>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</si>
  <si>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</si>
  <si>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</si>
  <si>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</si>
  <si>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</si>
  <si>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</si>
  <si>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</si>
  <si>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</si>
  <si>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</si>
  <si>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</si>
  <si>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</si>
  <si>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</si>
  <si>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</si>
  <si>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</si>
  <si>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</si>
  <si>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</si>
  <si>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</si>
  <si>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</si>
  <si>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</si>
  <si>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</si>
  <si>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</si>
  <si>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</si>
  <si>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</si>
  <si>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</si>
  <si>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</si>
  <si>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</si>
  <si>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</si>
  <si>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</si>
  <si>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</si>
  <si>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</si>
  <si>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</si>
  <si>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</si>
  <si>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</si>
  <si>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</si>
  <si>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</si>
  <si>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</si>
  <si>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</si>
  <si>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</si>
  <si>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</si>
  <si>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</si>
  <si>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</si>
  <si>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</si>
  <si>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</si>
  <si>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</si>
  <si>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</si>
  <si>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</si>
  <si>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</si>
  <si>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</si>
  <si>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</si>
  <si>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</si>
  <si>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</si>
  <si>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</si>
  <si>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</si>
  <si>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</si>
  <si>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</si>
  <si>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</si>
  <si>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</si>
  <si>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</si>
  <si>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</si>
  <si>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</si>
  <si>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</si>
  <si>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</si>
  <si>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</si>
  <si>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</si>
  <si>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</si>
  <si>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</si>
  <si>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</si>
  <si>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</si>
  <si>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</si>
  <si>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</si>
  <si>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</si>
  <si>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</si>
  <si>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</si>
  <si>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</si>
  <si>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</si>
  <si>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</si>
  <si>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</si>
  <si>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</si>
  <si>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</si>
  <si>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</si>
  <si>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</si>
  <si>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</si>
  <si>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</si>
  <si>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</si>
  <si>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</si>
  <si>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</si>
  <si>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</si>
  <si>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</si>
  <si>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</si>
  <si>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</si>
  <si>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</si>
  <si>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</si>
  <si>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</si>
  <si>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</si>
  <si>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</si>
  <si>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</si>
  <si>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</si>
  <si>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</si>
  <si>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</si>
  <si>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</si>
  <si>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</si>
  <si>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</si>
  <si>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</si>
  <si>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</si>
  <si>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</si>
  <si>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</si>
  <si>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</si>
  <si>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</si>
  <si>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</si>
  <si>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</si>
  <si>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</si>
  <si>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</si>
  <si>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</si>
  <si>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</si>
  <si>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</si>
  <si>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</si>
  <si>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</si>
  <si>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</si>
  <si>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</si>
  <si>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</si>
  <si>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</si>
  <si>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</si>
  <si>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</si>
  <si>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</si>
  <si>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</si>
  <si>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</si>
  <si>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</si>
  <si>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</si>
  <si>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</si>
  <si>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</si>
  <si>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</si>
  <si>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</si>
  <si>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</si>
  <si>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</si>
  <si>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</si>
  <si>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</si>
  <si>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</si>
  <si>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</si>
  <si>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</si>
  <si>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</si>
  <si>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</si>
  <si>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</si>
  <si>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</si>
  <si>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</si>
  <si>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</si>
  <si>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</si>
  <si>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</si>
  <si>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</si>
  <si>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</si>
  <si>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</si>
  <si>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</si>
  <si>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</si>
  <si>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</si>
  <si>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</si>
  <si>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</si>
  <si>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</si>
  <si>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</si>
  <si>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</si>
  <si>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</si>
  <si>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</si>
  <si>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</si>
  <si>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</si>
  <si>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</si>
  <si>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</si>
  <si>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</si>
  <si>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</si>
  <si>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</si>
  <si>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</si>
  <si>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</si>
  <si>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</si>
  <si>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</si>
  <si>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</si>
  <si>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</si>
  <si>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</si>
  <si>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</si>
  <si>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</si>
  <si>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</si>
  <si>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</si>
  <si>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</si>
  <si>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</si>
  <si>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</si>
  <si>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</si>
  <si>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</si>
  <si>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</si>
  <si>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</si>
  <si>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</si>
  <si>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</si>
  <si>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</si>
  <si>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</si>
  <si>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</si>
  <si>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</si>
  <si>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</si>
  <si>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</si>
  <si>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</si>
  <si>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</si>
  <si>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</si>
  <si>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</si>
  <si>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</si>
  <si>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</si>
  <si>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</si>
  <si>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</si>
  <si>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</si>
  <si>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</si>
  <si>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</si>
  <si>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</si>
  <si>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</si>
  <si>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</si>
  <si>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</si>
  <si>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</si>
  <si>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</si>
  <si>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</si>
  <si>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</si>
  <si>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</si>
  <si>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</si>
  <si>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</si>
  <si>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</si>
  <si>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</si>
  <si>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</si>
  <si>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</si>
  <si>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</si>
  <si>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</si>
  <si>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</si>
  <si>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</si>
  <si>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</si>
  <si>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</si>
  <si>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</si>
  <si>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</si>
  <si>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</si>
  <si>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</si>
  <si>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</si>
  <si>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</si>
  <si>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</si>
  <si>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</si>
  <si>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</si>
  <si>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</si>
  <si>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</si>
  <si>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</si>
  <si>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</si>
  <si>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</si>
  <si>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</si>
  <si>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</si>
  <si>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</si>
  <si>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</si>
  <si>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</si>
  <si>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</si>
  <si>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</si>
  <si>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</si>
  <si>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</si>
  <si>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</si>
  <si>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</si>
  <si>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</si>
  <si>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</si>
  <si>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</si>
  <si>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</si>
  <si>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</si>
  <si>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</si>
  <si>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</si>
  <si>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</si>
  <si>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</si>
  <si>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</si>
  <si>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</si>
  <si>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</si>
  <si>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</si>
  <si>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</si>
  <si>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</si>
  <si>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</si>
  <si>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</si>
  <si>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</si>
  <si>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</si>
  <si>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</si>
  <si>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</si>
  <si>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</si>
  <si>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</si>
  <si>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</si>
  <si>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</si>
  <si>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</si>
  <si>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</si>
  <si>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</si>
  <si>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</si>
  <si>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</si>
  <si>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</si>
  <si>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</si>
  <si>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</si>
  <si>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</si>
  <si>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</si>
  <si>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</si>
  <si>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</si>
  <si>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</si>
  <si>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</si>
  <si>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</si>
  <si>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</si>
  <si>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</si>
  <si>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</si>
  <si>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</si>
  <si>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</si>
  <si>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</si>
  <si>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</si>
  <si>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</si>
  <si>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</si>
  <si>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</si>
  <si>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</si>
  <si>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</si>
  <si>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</si>
  <si>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</si>
  <si>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</si>
  <si>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</si>
  <si>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</si>
  <si>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</si>
  <si>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</si>
  <si>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</si>
  <si>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</si>
  <si>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</si>
  <si>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</si>
  <si>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</si>
  <si>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</si>
  <si>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</si>
  <si>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</si>
  <si>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</si>
  <si>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</si>
  <si>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</si>
  <si>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</si>
  <si>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</si>
  <si>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</si>
  <si>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</si>
  <si>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</si>
  <si>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</si>
  <si>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</si>
  <si>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</si>
  <si>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</si>
  <si>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</si>
  <si>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</si>
  <si>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</si>
  <si>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</si>
  <si>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</si>
  <si>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</si>
  <si>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</si>
  <si>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</si>
  <si>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</si>
  <si>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</si>
  <si>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</si>
  <si>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</si>
  <si>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</si>
  <si>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</si>
  <si>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</si>
  <si>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</si>
  <si>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</si>
  <si>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</si>
  <si>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</si>
  <si>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</si>
  <si>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</si>
  <si>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</si>
  <si>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</si>
  <si>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</si>
  <si>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</si>
  <si>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</si>
  <si>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</si>
  <si>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</si>
  <si>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</si>
  <si>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</si>
  <si>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</si>
  <si>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</si>
  <si>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</si>
  <si>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</si>
  <si>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</si>
  <si>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</si>
  <si>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</si>
  <si>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</si>
  <si>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</si>
  <si>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</si>
  <si>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</si>
  <si>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</si>
  <si>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</si>
  <si>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</si>
  <si>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</si>
  <si>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</si>
  <si>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</si>
  <si>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</si>
  <si>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</si>
  <si>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</si>
  <si>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</si>
  <si>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</si>
  <si>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</si>
  <si>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</si>
  <si>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</si>
  <si>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</si>
  <si>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</si>
  <si>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</si>
  <si>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</si>
  <si>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</si>
  <si>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</si>
  <si>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</si>
  <si>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</si>
  <si>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</si>
  <si>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</si>
  <si>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</si>
  <si>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</si>
  <si>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</si>
  <si>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</si>
  <si>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</si>
  <si>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</si>
  <si>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</si>
  <si>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</si>
  <si>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</si>
  <si>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</si>
  <si>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</si>
  <si>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</si>
  <si>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</si>
  <si>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</si>
  <si>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</si>
  <si>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</si>
  <si>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</si>
  <si>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</si>
  <si>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</si>
  <si>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</si>
  <si>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</si>
  <si>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</si>
  <si>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</si>
  <si>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</si>
  <si>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</si>
  <si>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</si>
  <si>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</si>
  <si>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</si>
  <si>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</si>
  <si>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</si>
  <si>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</si>
  <si>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</si>
  <si>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</si>
  <si>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</si>
  <si>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</si>
  <si>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</si>
  <si>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</si>
  <si>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</si>
  <si>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</si>
  <si>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</si>
  <si>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</si>
  <si>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</si>
  <si>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</si>
  <si>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</si>
  <si>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</si>
  <si>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</si>
  <si>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</si>
  <si>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</si>
  <si>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</si>
  <si>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</si>
  <si>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</si>
  <si>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</si>
  <si>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</si>
  <si>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</si>
  <si>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</si>
  <si>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</si>
  <si>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</si>
  <si>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</si>
  <si>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</si>
  <si>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</si>
  <si>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</si>
  <si>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</si>
  <si>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</si>
  <si>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</si>
  <si>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</si>
  <si>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</si>
  <si>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</si>
  <si>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</si>
  <si>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</si>
  <si>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</si>
  <si>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</si>
  <si>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</si>
  <si>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</si>
  <si>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</si>
  <si>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</si>
  <si>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</si>
  <si>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</si>
  <si>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</si>
  <si>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</si>
  <si>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</si>
  <si>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</si>
  <si>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</si>
  <si>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</si>
  <si>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</si>
  <si>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</si>
  <si>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</si>
  <si>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</si>
  <si>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</si>
  <si>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</si>
  <si>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</si>
  <si>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</si>
  <si>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</si>
  <si>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</si>
  <si>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</si>
  <si>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</si>
  <si>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</si>
  <si>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</si>
  <si>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</si>
  <si>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</si>
  <si>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</si>
  <si>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</si>
  <si>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</si>
  <si>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</si>
  <si>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</si>
  <si>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</si>
  <si>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</si>
  <si>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</si>
  <si>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</si>
  <si>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</si>
  <si>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</si>
  <si>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</si>
  <si>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</si>
  <si>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</si>
  <si>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</si>
  <si>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</si>
  <si>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</si>
  <si>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</si>
  <si>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</si>
  <si>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</si>
  <si>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</si>
  <si>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</si>
  <si>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</si>
  <si>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</si>
  <si>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</si>
  <si>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</si>
  <si>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</si>
  <si>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</si>
  <si>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</si>
  <si>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</si>
  <si>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</si>
  <si>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</si>
  <si>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</si>
  <si>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</si>
  <si>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</si>
  <si>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</si>
  <si>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</si>
  <si>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</si>
  <si>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</si>
  <si>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</si>
  <si>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</si>
  <si>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</si>
  <si>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</si>
  <si>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</si>
  <si>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</si>
  <si>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</si>
  <si>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</si>
  <si>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</si>
  <si>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</si>
  <si>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</si>
  <si>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</si>
  <si>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</si>
  <si>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</si>
  <si>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</si>
  <si>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</si>
  <si>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</si>
  <si>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</si>
  <si>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</si>
  <si>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</si>
  <si>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</si>
  <si>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</si>
  <si>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</si>
  <si>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</si>
  <si>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</si>
  <si>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</si>
  <si>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</si>
  <si>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</si>
  <si>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</si>
  <si>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</si>
  <si>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</si>
  <si>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</si>
  <si>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</si>
  <si>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</si>
  <si>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</si>
  <si>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</si>
  <si>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</si>
  <si>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</si>
  <si>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</si>
  <si>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</si>
  <si>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</si>
  <si>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</si>
  <si>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</si>
  <si>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</si>
  <si>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</si>
  <si>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</si>
  <si>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</si>
  <si>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</si>
  <si>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</si>
  <si>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</si>
  <si>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</si>
  <si>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</si>
  <si>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</si>
  <si>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</si>
  <si>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</si>
  <si>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</si>
  <si>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</si>
  <si>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</si>
  <si>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</si>
  <si>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</si>
  <si>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</si>
  <si>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</si>
  <si>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</si>
  <si>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</si>
  <si>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</si>
  <si>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</si>
  <si>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</si>
  <si>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</si>
  <si>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</si>
  <si>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</si>
  <si>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</si>
  <si>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</si>
  <si>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</si>
  <si>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</si>
  <si>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</si>
  <si>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</si>
  <si>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</si>
  <si>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</si>
  <si>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</si>
  <si>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</si>
  <si>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</si>
  <si>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</si>
  <si>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</si>
  <si>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</si>
  <si>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</si>
  <si>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</si>
  <si>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</si>
  <si>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</si>
  <si>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</si>
  <si>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</si>
  <si>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</si>
  <si>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</si>
  <si>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</si>
  <si>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</si>
  <si>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</si>
  <si>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</si>
  <si>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</si>
  <si>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</si>
  <si>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</si>
  <si>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</si>
  <si>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</si>
  <si>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</si>
  <si>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</si>
  <si>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</si>
  <si>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</si>
  <si>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</si>
  <si>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</si>
  <si>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</si>
  <si>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</si>
  <si>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</si>
  <si>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</si>
  <si>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</si>
  <si>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</si>
  <si>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</si>
  <si>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</si>
  <si>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</si>
  <si>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</si>
  <si>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</si>
  <si>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</si>
  <si>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</si>
  <si>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</si>
  <si>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</si>
  <si>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</si>
  <si>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</si>
  <si>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</si>
  <si>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</si>
  <si>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</si>
  <si>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</si>
  <si>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</si>
  <si>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</si>
  <si>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</si>
  <si>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</si>
  <si>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</si>
  <si>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</si>
  <si>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</si>
  <si>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</si>
  <si>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</si>
  <si>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</si>
  <si>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</si>
  <si>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</si>
  <si>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</si>
  <si>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</si>
  <si>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</si>
  <si>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</si>
  <si>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</si>
  <si>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</si>
  <si>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</si>
  <si>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</si>
  <si>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</si>
  <si>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</si>
  <si>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</si>
  <si>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</si>
  <si>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</si>
  <si>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</si>
  <si>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</si>
  <si>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</si>
  <si>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</si>
  <si>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</si>
  <si>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</si>
  <si>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</si>
  <si>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</si>
  <si>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</si>
  <si>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</si>
  <si>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</si>
  <si>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</si>
  <si>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</si>
  <si>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</si>
  <si>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</si>
  <si>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</si>
  <si>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</si>
  <si>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</si>
  <si>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</si>
  <si>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</si>
  <si>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</si>
  <si>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</si>
  <si>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</si>
  <si>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</si>
  <si>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</si>
  <si>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</si>
  <si>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</si>
  <si>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</si>
  <si>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</si>
  <si>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</si>
  <si>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</si>
  <si>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</si>
  <si>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</si>
  <si>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</si>
  <si>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</si>
  <si>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</si>
  <si>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</si>
  <si>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</si>
  <si>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</si>
  <si>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</si>
  <si>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</si>
  <si>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</si>
  <si>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</si>
  <si>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</si>
  <si>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</si>
  <si>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</si>
  <si>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</si>
  <si>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</si>
  <si>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</si>
  <si>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</si>
  <si>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</si>
  <si>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</si>
  <si>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</si>
  <si>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</si>
  <si>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</si>
  <si>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</si>
  <si>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</si>
  <si>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</si>
  <si>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</si>
  <si>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</si>
  <si>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</si>
  <si>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</si>
  <si>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</si>
  <si>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</si>
  <si>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</si>
  <si>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</si>
  <si>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</si>
  <si>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</si>
  <si>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</si>
  <si>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</si>
  <si>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</si>
  <si>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</si>
  <si>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</si>
  <si>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</si>
  <si>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</si>
  <si>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</si>
  <si>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</si>
  <si>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</si>
  <si>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</si>
  <si>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</si>
  <si>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</si>
  <si>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</si>
  <si>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</si>
  <si>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</si>
  <si>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</si>
  <si>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</si>
  <si>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</si>
  <si>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</si>
  <si>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</si>
  <si>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</si>
  <si>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</si>
  <si>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</si>
  <si>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</si>
  <si>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</si>
  <si>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</si>
  <si>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</si>
  <si>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</si>
  <si>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</si>
  <si>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</si>
  <si>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</si>
  <si>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</si>
  <si>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</si>
  <si>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</si>
  <si>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</si>
  <si>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</si>
  <si>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</si>
  <si>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</si>
  <si>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</si>
  <si>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</si>
  <si>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</si>
  <si>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</si>
  <si>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</si>
  <si>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</si>
  <si>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</si>
  <si>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</si>
  <si>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</si>
  <si>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</si>
  <si>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</si>
  <si>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</si>
  <si>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</si>
  <si>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</si>
  <si>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</si>
  <si>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</si>
  <si>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</si>
  <si>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</si>
  <si>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</si>
  <si>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</si>
  <si>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</si>
  <si>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</si>
  <si>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</si>
  <si>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</si>
  <si>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</si>
  <si>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</si>
  <si>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</si>
  <si>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</si>
  <si>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</si>
  <si>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</si>
  <si>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</si>
  <si>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</si>
  <si>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</si>
  <si>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</si>
  <si>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</si>
  <si>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</si>
  <si>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</si>
  <si>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</si>
  <si>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</si>
  <si>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</si>
  <si>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</si>
  <si>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</si>
  <si>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</si>
  <si>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</si>
  <si>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</si>
  <si>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</si>
  <si>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</si>
  <si>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</si>
  <si>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</si>
  <si>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</si>
  <si>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</si>
  <si>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</si>
  <si>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</si>
  <si>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</si>
  <si>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</si>
  <si>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</si>
  <si>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</si>
  <si>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</si>
  <si>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</si>
  <si>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</si>
  <si>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</si>
  <si>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</si>
  <si>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</si>
  <si>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</si>
  <si>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</si>
  <si>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</si>
  <si>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</si>
  <si>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</si>
  <si>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</si>
  <si>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</si>
  <si>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</si>
  <si>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</si>
  <si>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</si>
  <si>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</si>
  <si>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</si>
  <si>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</si>
  <si>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</si>
  <si>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</si>
  <si>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</si>
  <si>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</si>
  <si>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</si>
  <si>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</si>
  <si>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</si>
  <si>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</si>
  <si>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</si>
  <si>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</si>
  <si>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</si>
  <si>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</si>
  <si>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</si>
  <si>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</si>
  <si>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</si>
  <si>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</si>
  <si>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</si>
  <si>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</si>
  <si>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</si>
  <si>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</si>
  <si>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</si>
  <si>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</si>
  <si>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</si>
  <si>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</si>
  <si>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</si>
  <si>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</si>
  <si>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</si>
  <si>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</si>
  <si>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</si>
  <si>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</si>
  <si>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</si>
  <si>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</si>
  <si>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</si>
  <si>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</si>
  <si>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</si>
  <si>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</si>
  <si>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</si>
  <si>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</si>
  <si>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</si>
  <si>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</si>
  <si>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</si>
  <si>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</si>
  <si>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</si>
  <si>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</si>
  <si>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</si>
  <si>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</si>
  <si>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</si>
  <si>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</si>
  <si>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</si>
  <si>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</si>
  <si>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</si>
  <si>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</si>
  <si>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</si>
  <si>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</si>
  <si>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</si>
  <si>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</si>
  <si>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</si>
  <si>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</si>
  <si>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</si>
  <si>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</si>
  <si>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</si>
  <si>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</si>
  <si>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</si>
  <si>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</si>
  <si>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</si>
  <si>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</si>
  <si>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</si>
  <si>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</si>
  <si>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</si>
  <si>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</si>
  <si>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</si>
  <si>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</si>
  <si>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</si>
  <si>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</si>
  <si>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</si>
  <si>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</si>
  <si>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</si>
  <si>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</si>
  <si>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</si>
  <si>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</si>
  <si>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</si>
  <si>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</si>
  <si>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</si>
  <si>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</si>
  <si>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</si>
  <si>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</si>
  <si>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</si>
  <si>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</si>
  <si>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</si>
  <si>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</si>
  <si>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</si>
  <si>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</si>
  <si>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</si>
  <si>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</si>
  <si>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</si>
  <si>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</si>
  <si>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</si>
  <si>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</si>
  <si>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</si>
  <si>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</si>
  <si>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</si>
  <si>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</si>
  <si>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</si>
  <si>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</si>
  <si>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</si>
  <si>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</si>
  <si>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</si>
  <si>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</si>
  <si>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</si>
  <si>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</si>
  <si>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</si>
  <si>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</si>
  <si>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</si>
  <si>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</si>
  <si>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</si>
  <si>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</si>
  <si>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</si>
  <si>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</si>
  <si>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</si>
  <si>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</si>
  <si>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</si>
  <si>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</si>
  <si>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</si>
  <si>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</si>
  <si>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</si>
  <si>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</si>
  <si>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</si>
  <si>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</si>
  <si>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</si>
  <si>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</si>
  <si>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</si>
  <si>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</si>
  <si>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</si>
  <si>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</si>
  <si>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</si>
  <si>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</si>
  <si>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</si>
  <si>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</si>
  <si>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</si>
  <si>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</si>
  <si>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</si>
  <si>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</si>
  <si>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</si>
  <si>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</si>
  <si>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</si>
  <si>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</si>
  <si>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</si>
  <si>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</si>
  <si>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</si>
  <si>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</si>
  <si>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</si>
  <si>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</si>
  <si>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</si>
  <si>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</si>
  <si>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</si>
  <si>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</si>
  <si>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</si>
  <si>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</si>
  <si>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</si>
  <si>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</si>
  <si>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</si>
  <si>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</si>
  <si>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</si>
  <si>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</si>
  <si>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</si>
  <si>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</si>
  <si>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</si>
  <si>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</si>
  <si>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</si>
  <si>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</si>
  <si>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</si>
  <si>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</si>
  <si>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</si>
  <si>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</si>
  <si>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</si>
  <si>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</si>
  <si>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</si>
  <si>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</si>
  <si>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</si>
  <si>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</si>
  <si>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</si>
  <si>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</si>
  <si>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</si>
  <si>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</si>
  <si>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</si>
  <si>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</si>
  <si>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</si>
  <si>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</si>
  <si>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</si>
  <si>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</si>
  <si>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</si>
  <si>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</si>
  <si>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</si>
  <si>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</si>
  <si>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</si>
  <si>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</si>
  <si>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</si>
  <si>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</si>
  <si>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</si>
  <si>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</si>
  <si>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</si>
  <si>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</si>
  <si>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</si>
  <si>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</si>
  <si>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</si>
  <si>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</si>
  <si>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</si>
  <si>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</si>
  <si>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</si>
  <si>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</si>
  <si>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</si>
  <si>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</si>
  <si>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</si>
  <si>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</si>
  <si>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</si>
  <si>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</si>
  <si>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</si>
  <si>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</si>
  <si>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</si>
  <si>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</si>
  <si>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</si>
  <si>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</si>
  <si>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</si>
  <si>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</si>
  <si>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</si>
  <si>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</si>
  <si>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</si>
  <si>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</si>
  <si>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</si>
  <si>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</si>
  <si>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</si>
  <si>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</si>
  <si>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</si>
  <si>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</si>
  <si>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</si>
  <si>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</si>
  <si>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</si>
  <si>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</si>
  <si>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</si>
  <si>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</si>
  <si>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</si>
  <si>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</si>
  <si>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</si>
  <si>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</si>
  <si>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</si>
  <si>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</si>
  <si>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</si>
  <si>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</si>
  <si>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</si>
  <si>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</si>
  <si>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</si>
  <si>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</si>
  <si>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</si>
  <si>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</si>
  <si>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</si>
  <si>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</si>
  <si>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</si>
  <si>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</si>
  <si>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</si>
  <si>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</si>
  <si>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</si>
  <si>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</si>
  <si>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</si>
  <si>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</si>
  <si>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</si>
  <si>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</si>
  <si>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</si>
  <si>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</si>
  <si>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</si>
  <si>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</si>
  <si>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</si>
  <si>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</si>
  <si>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</si>
  <si>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</si>
  <si>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</si>
  <si>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</si>
  <si>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</si>
  <si>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</si>
  <si>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</si>
  <si>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</si>
  <si>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</si>
  <si>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</si>
  <si>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</si>
  <si>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</si>
  <si>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</si>
  <si>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</si>
  <si>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</si>
  <si>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</si>
  <si>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</si>
  <si>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</si>
  <si>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</si>
  <si>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</si>
  <si>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</si>
  <si>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</si>
  <si>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</si>
  <si>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</si>
  <si>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</si>
  <si>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</si>
  <si>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</si>
  <si>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</si>
  <si>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</si>
  <si>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</si>
  <si>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</si>
  <si>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</si>
  <si>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</si>
  <si>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</si>
  <si>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</si>
  <si>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</si>
  <si>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</si>
  <si>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</si>
  <si>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</si>
  <si>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</si>
  <si>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</si>
  <si>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</si>
  <si>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</si>
  <si>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</si>
  <si>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</si>
  <si>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</si>
  <si>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</si>
  <si>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</si>
  <si>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</si>
  <si>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</si>
  <si>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</si>
  <si>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</si>
  <si>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</si>
  <si>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</si>
  <si>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</si>
  <si>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</si>
  <si>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</si>
  <si>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</si>
  <si>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</si>
  <si>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</si>
  <si>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</si>
  <si>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</si>
  <si>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</si>
  <si>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</si>
  <si>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</si>
  <si>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</si>
  <si>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</si>
  <si>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</si>
  <si>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</si>
  <si>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</si>
  <si>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</si>
  <si>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</si>
  <si>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</si>
  <si>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</si>
  <si>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</si>
  <si>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</si>
  <si>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</si>
  <si>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</si>
  <si>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</si>
  <si>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</si>
  <si>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</si>
  <si>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</si>
  <si>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</si>
  <si>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</si>
  <si>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</si>
  <si>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</si>
  <si>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</si>
  <si>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</si>
  <si>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</si>
  <si>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</si>
  <si>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</si>
  <si>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</si>
  <si>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</si>
  <si>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</si>
  <si>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</si>
  <si>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</si>
  <si>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</si>
  <si>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</si>
  <si>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</si>
  <si>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</si>
  <si>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</si>
  <si>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</si>
  <si>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</si>
  <si>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</si>
  <si>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</si>
  <si>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</si>
  <si>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</si>
  <si>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</si>
  <si>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</si>
  <si>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</si>
  <si>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</si>
  <si>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</si>
  <si>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</si>
  <si>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</si>
  <si>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</si>
  <si>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</si>
  <si>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</si>
  <si>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</si>
  <si>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</si>
  <si>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</si>
  <si>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</si>
  <si>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</si>
  <si>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</si>
  <si>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</si>
  <si>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</si>
  <si>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</si>
  <si>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</si>
  <si>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</si>
  <si>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</si>
  <si>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</si>
  <si>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</si>
  <si>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</si>
  <si>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</si>
  <si>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</si>
  <si>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</si>
  <si>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</si>
  <si>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</si>
  <si>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</si>
  <si>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</si>
  <si>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</si>
  <si>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</si>
  <si>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</si>
  <si>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</si>
  <si>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</si>
  <si>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</si>
  <si>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</si>
  <si>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</si>
  <si>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</si>
  <si>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</si>
  <si>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</si>
  <si>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</si>
  <si>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</si>
  <si>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</si>
  <si>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</si>
  <si>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</si>
  <si>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</si>
  <si>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</si>
  <si>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</si>
  <si>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</si>
  <si>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</si>
  <si>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</si>
  <si>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</si>
  <si>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</si>
  <si>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</si>
  <si>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</si>
  <si>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</si>
  <si>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</si>
  <si>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</si>
  <si>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</si>
  <si>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</si>
  <si>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</si>
  <si>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</si>
  <si>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</si>
  <si>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</si>
  <si>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</si>
  <si>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</si>
  <si>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</si>
  <si>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</si>
  <si>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</si>
  <si>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</si>
  <si>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</si>
  <si>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</si>
  <si>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</si>
  <si>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</si>
  <si>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</si>
  <si>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</si>
  <si>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</si>
  <si>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</si>
  <si>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</si>
  <si>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</si>
  <si>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</si>
  <si>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</si>
  <si>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</si>
  <si>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</si>
  <si>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</si>
  <si>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</si>
  <si>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</si>
  <si>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</si>
  <si>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</si>
  <si>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</si>
  <si>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</si>
  <si>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</si>
  <si>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</si>
  <si>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</si>
  <si>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</si>
  <si>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</si>
  <si>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</si>
  <si>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</si>
  <si>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</si>
  <si>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</si>
  <si>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</si>
  <si>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</si>
  <si>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</si>
  <si>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</si>
  <si>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</si>
  <si>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</si>
  <si>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</si>
  <si>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</si>
  <si>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</si>
  <si>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</si>
  <si>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</si>
  <si>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</si>
  <si>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</si>
  <si>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</si>
  <si>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</si>
  <si>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</si>
  <si>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</si>
  <si>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</si>
  <si>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</si>
  <si>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</si>
  <si>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</si>
  <si>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</si>
  <si>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</si>
  <si>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</si>
  <si>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</si>
  <si>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</si>
  <si>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</si>
  <si>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</si>
  <si>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</si>
  <si>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</si>
  <si>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</si>
  <si>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</si>
  <si>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</si>
  <si>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</si>
  <si>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</si>
  <si>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</si>
  <si>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</si>
  <si>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</si>
  <si>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</si>
  <si>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</si>
  <si>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</si>
  <si>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</si>
  <si>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</si>
  <si>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</si>
  <si>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</si>
  <si>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</si>
  <si>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</si>
  <si>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</si>
  <si>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</si>
  <si>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</si>
  <si>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</si>
  <si>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</si>
  <si>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</si>
  <si>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</si>
  <si>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</si>
  <si>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</si>
  <si>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</si>
  <si>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</si>
  <si>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</si>
  <si>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</si>
  <si>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</si>
  <si>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</si>
  <si>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</si>
  <si>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</si>
  <si>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</si>
  <si>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</si>
  <si>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</si>
  <si>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</si>
  <si>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</si>
  <si>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</si>
  <si>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</si>
  <si>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</si>
  <si>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</si>
  <si>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</si>
  <si>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</si>
  <si>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</si>
  <si>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</si>
  <si>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</si>
  <si>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</si>
  <si>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</si>
  <si>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</si>
  <si>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</si>
  <si>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</si>
  <si>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</si>
  <si>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</si>
  <si>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</si>
  <si>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</si>
  <si>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</si>
  <si>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</si>
  <si>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</si>
  <si>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</si>
  <si>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</si>
  <si>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</si>
  <si>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</si>
  <si>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</si>
  <si>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</si>
  <si>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</si>
  <si>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</si>
  <si>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</si>
  <si>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</si>
  <si>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</si>
  <si>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</si>
  <si>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</si>
  <si>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</si>
  <si>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</si>
  <si>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</si>
  <si>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</si>
  <si>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</si>
  <si>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</si>
  <si>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</si>
  <si>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</si>
  <si>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</si>
  <si>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</si>
  <si>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</si>
  <si>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</si>
  <si>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</si>
  <si>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</si>
  <si>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</si>
  <si>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</si>
  <si>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</si>
  <si>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</si>
  <si>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</si>
  <si>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</si>
  <si>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</si>
  <si>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</si>
  <si>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</si>
  <si>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</si>
  <si>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</si>
  <si>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</si>
  <si>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</si>
  <si>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</si>
  <si>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</si>
  <si>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</si>
  <si>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</si>
  <si>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</si>
  <si>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</si>
  <si>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</si>
  <si>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</si>
  <si>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</si>
  <si>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</si>
  <si>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</si>
  <si>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</si>
  <si>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</si>
  <si>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</si>
  <si>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</si>
  <si>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</si>
  <si>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</si>
  <si>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</si>
  <si>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</si>
  <si>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</si>
  <si>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</si>
  <si>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</si>
  <si>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</si>
  <si>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</si>
  <si>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</si>
  <si>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</si>
  <si>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</si>
  <si>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</si>
  <si>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</si>
  <si>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</si>
  <si>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</si>
  <si>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</si>
  <si>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</si>
  <si>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</si>
  <si>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</si>
  <si>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</si>
  <si>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</si>
  <si>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</si>
  <si>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</si>
  <si>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</si>
  <si>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</si>
  <si>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</si>
  <si>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</si>
  <si>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</si>
  <si>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</si>
  <si>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</si>
  <si>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</si>
  <si>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</si>
  <si>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</si>
  <si>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</si>
  <si>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</si>
  <si>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</si>
  <si>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</si>
  <si>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</si>
  <si>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</si>
  <si>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</si>
  <si>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</si>
  <si>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</si>
  <si>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</si>
  <si>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</si>
  <si>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</si>
  <si>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</si>
  <si>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</si>
  <si>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</si>
  <si>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</si>
  <si>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</si>
  <si>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</si>
  <si>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</si>
  <si>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</si>
  <si>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</si>
  <si>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</si>
  <si>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</si>
  <si>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</si>
  <si>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</si>
  <si>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</si>
  <si>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</si>
  <si>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</si>
  <si>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</si>
  <si>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</si>
  <si>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</si>
  <si>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</si>
  <si>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</si>
  <si>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</si>
  <si>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</si>
  <si>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</si>
  <si>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</si>
  <si>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</si>
  <si>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</si>
  <si>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</si>
  <si>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</si>
  <si>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</si>
  <si>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</si>
  <si>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</si>
  <si>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</si>
  <si>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</si>
  <si>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</si>
  <si>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</si>
  <si>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</si>
  <si>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</si>
  <si>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</si>
  <si>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</si>
  <si>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</si>
  <si>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</si>
  <si>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</si>
  <si>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</si>
  <si>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</si>
  <si>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</si>
  <si>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</si>
  <si>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</si>
  <si>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</si>
  <si>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</si>
  <si>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</si>
  <si>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</si>
  <si>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</si>
  <si>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</si>
  <si>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</si>
  <si>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</si>
  <si>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</si>
  <si>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</si>
  <si>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</si>
  <si>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</si>
  <si>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</si>
  <si>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</si>
  <si>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</si>
  <si>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</si>
  <si>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</si>
  <si>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</si>
  <si>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</si>
  <si>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</si>
  <si>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</si>
  <si>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</si>
  <si>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</si>
  <si>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</si>
  <si>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</si>
  <si>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</si>
  <si>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</si>
  <si>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</si>
  <si>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</si>
  <si>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</si>
  <si>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</si>
  <si>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</si>
  <si>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</si>
  <si>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</si>
  <si>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</si>
  <si>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</si>
  <si>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</si>
  <si>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</si>
  <si>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</si>
  <si>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</si>
  <si>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</si>
  <si>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</si>
  <si>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</si>
  <si>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</si>
  <si>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</si>
  <si>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</si>
  <si>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</si>
  <si>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</si>
  <si>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</si>
  <si>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</si>
  <si>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</si>
  <si>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</si>
  <si>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</si>
  <si>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</si>
  <si>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</si>
  <si>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</si>
  <si>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</si>
  <si>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</si>
  <si>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</si>
  <si>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</si>
  <si>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</si>
  <si>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</si>
  <si>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</si>
  <si>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</si>
  <si>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</si>
  <si>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</si>
  <si>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</si>
  <si>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</si>
  <si>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</si>
  <si>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</si>
  <si>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</si>
  <si>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</si>
  <si>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</si>
  <si>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</si>
  <si>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</si>
  <si>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</si>
  <si>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</si>
  <si>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</si>
  <si>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</si>
  <si>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</si>
  <si>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</si>
  <si>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</si>
  <si>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</si>
  <si>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</si>
  <si>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</si>
  <si>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</si>
  <si>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</si>
  <si>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</si>
  <si>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</si>
  <si>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</si>
  <si>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</si>
  <si>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</si>
  <si>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</si>
  <si>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</si>
  <si>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</si>
  <si>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</si>
  <si>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</si>
  <si>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</si>
  <si>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</si>
  <si>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</si>
  <si>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</si>
  <si>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</si>
  <si>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</si>
  <si>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</si>
  <si>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</si>
  <si>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</si>
  <si>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</si>
  <si>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</si>
  <si>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</si>
  <si>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</si>
  <si>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</si>
  <si>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</si>
  <si>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</si>
  <si>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</si>
  <si>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</si>
  <si>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</si>
  <si>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</si>
  <si>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</si>
  <si>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</si>
  <si>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</si>
  <si>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</si>
  <si>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</si>
  <si>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</si>
  <si>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</si>
  <si>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</si>
  <si>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</si>
  <si>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</si>
  <si>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</si>
  <si>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</si>
  <si>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</si>
  <si>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</si>
  <si>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</si>
  <si>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</si>
  <si>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</si>
  <si>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</si>
  <si>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</si>
  <si>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</si>
  <si>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</si>
  <si>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</si>
  <si>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</si>
  <si>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</si>
  <si>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</si>
  <si>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</si>
  <si>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</si>
  <si>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</si>
  <si>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</si>
  <si>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</si>
  <si>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</si>
  <si>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</si>
  <si>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</si>
  <si>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</si>
  <si>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</si>
  <si>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</si>
  <si>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</si>
  <si>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</si>
  <si>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</si>
  <si>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</si>
  <si>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</si>
  <si>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</si>
  <si>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</si>
  <si>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</si>
  <si>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</si>
  <si>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</si>
  <si>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</si>
  <si>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</si>
  <si>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</si>
  <si>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</si>
  <si>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</si>
  <si>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</si>
  <si>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</si>
  <si>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</si>
  <si>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</si>
  <si>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</si>
  <si>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</si>
  <si>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</si>
  <si>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</si>
  <si>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</si>
  <si>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</si>
  <si>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</si>
  <si>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</si>
  <si>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</si>
  <si>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</si>
  <si>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</si>
  <si>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</si>
  <si>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</si>
  <si>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</si>
  <si>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</si>
  <si>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</si>
  <si>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</si>
  <si>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</si>
  <si>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</si>
  <si>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</si>
  <si>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</si>
  <si>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</si>
  <si>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</si>
  <si>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</si>
  <si>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</si>
  <si>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</si>
  <si>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</si>
  <si>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</si>
  <si>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</si>
  <si>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</si>
  <si>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</si>
  <si>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</si>
  <si>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</si>
  <si>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</si>
  <si>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</si>
  <si>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</si>
  <si>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</si>
  <si>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</si>
  <si>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</si>
  <si>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</si>
  <si>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</si>
  <si>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</si>
  <si>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</si>
  <si>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</si>
  <si>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</si>
  <si>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</si>
  <si>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</si>
  <si>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</si>
  <si>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</si>
  <si>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</si>
  <si>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</si>
  <si>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</si>
  <si>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</si>
  <si>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</si>
  <si>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</si>
  <si>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</si>
  <si>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</si>
  <si>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</si>
  <si>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</si>
  <si>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</si>
  <si>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</si>
  <si>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</si>
  <si>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</si>
  <si>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</si>
  <si>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</si>
  <si>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</si>
  <si>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</si>
  <si>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</si>
  <si>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</si>
  <si>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</si>
  <si>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</si>
  <si>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</si>
  <si>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</si>
  <si>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</si>
  <si>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</si>
  <si>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</si>
  <si>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</si>
  <si>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</si>
  <si>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</si>
  <si>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</si>
  <si>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</si>
  <si>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</si>
  <si>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</si>
  <si>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</si>
  <si>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</si>
  <si>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</si>
  <si>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</si>
  <si>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</si>
  <si>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</si>
  <si>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</si>
  <si>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</si>
  <si>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</si>
  <si>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</si>
  <si>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</si>
  <si>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</si>
  <si>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</si>
  <si>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</si>
  <si>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</si>
  <si>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</si>
  <si>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</si>
  <si>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</si>
  <si>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</si>
  <si>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</si>
  <si>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</si>
  <si>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</si>
  <si>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</si>
  <si>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</si>
  <si>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</si>
  <si>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</si>
  <si>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</si>
  <si>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</si>
  <si>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</si>
  <si>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</si>
  <si>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</si>
  <si>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</si>
  <si>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</si>
  <si>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</si>
  <si>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</si>
  <si>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</si>
  <si>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</si>
  <si>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</si>
  <si>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</si>
  <si>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</si>
  <si>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</si>
  <si>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</si>
  <si>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</si>
  <si>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</si>
  <si>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</si>
  <si>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</si>
  <si>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</si>
  <si>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</si>
  <si>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</si>
  <si>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</si>
  <si>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</si>
  <si>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</si>
  <si>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</si>
  <si>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</si>
  <si>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</si>
  <si>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</si>
  <si>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</si>
  <si>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</si>
  <si>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</si>
  <si>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</si>
  <si>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</si>
  <si>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</si>
  <si>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</si>
  <si>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</si>
  <si>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</si>
  <si>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</si>
  <si>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</si>
  <si>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</si>
  <si>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</si>
  <si>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</si>
  <si>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</si>
  <si>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</si>
  <si>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</si>
  <si>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</si>
  <si>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</si>
  <si>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</si>
  <si>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</si>
  <si>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</si>
  <si>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</si>
  <si>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</si>
  <si>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</si>
  <si>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</si>
  <si>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</si>
  <si>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</si>
  <si>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</si>
  <si>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</si>
  <si>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</si>
  <si>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</si>
  <si>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</si>
  <si>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</si>
  <si>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</si>
  <si>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</si>
  <si>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</si>
  <si>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</si>
  <si>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</si>
  <si>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</si>
  <si>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</si>
  <si>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</si>
  <si>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</si>
  <si>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</si>
  <si>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</si>
  <si>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</si>
  <si>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</si>
  <si>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</si>
  <si>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</si>
  <si>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</si>
  <si>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</si>
  <si>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</si>
  <si>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</si>
  <si>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</si>
  <si>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</si>
  <si>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</si>
  <si>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</si>
  <si>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</si>
  <si>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</si>
  <si>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</si>
  <si>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</si>
  <si>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</si>
  <si>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</si>
  <si>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</si>
  <si>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</si>
  <si>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</si>
  <si>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</si>
  <si>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</si>
  <si>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</si>
  <si>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</si>
  <si>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</si>
  <si>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</si>
  <si>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</si>
  <si>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</si>
  <si>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</si>
  <si>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</si>
  <si>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</si>
  <si>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</si>
  <si>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</si>
  <si>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</si>
  <si>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</si>
  <si>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</si>
  <si>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</si>
  <si>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</si>
  <si>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</si>
  <si>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</si>
  <si>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</si>
  <si>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</si>
  <si>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</si>
  <si>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</si>
  <si>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</si>
  <si>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</si>
  <si>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</si>
  <si>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</si>
  <si>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</si>
  <si>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</si>
  <si>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</si>
  <si>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</si>
  <si>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</si>
  <si>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</si>
  <si>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</si>
  <si>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</si>
  <si>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</si>
  <si>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</si>
  <si>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</si>
  <si>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</si>
  <si>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</si>
  <si>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</si>
  <si>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</si>
  <si>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</si>
  <si>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</si>
  <si>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</si>
  <si>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</si>
  <si>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</si>
  <si>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</si>
  <si>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</si>
  <si>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</si>
  <si>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</si>
  <si>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</si>
  <si>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</si>
  <si>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</si>
  <si>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</si>
  <si>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</si>
  <si>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</si>
  <si>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</si>
  <si>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</si>
  <si>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</si>
  <si>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</si>
  <si>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</si>
  <si>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</si>
  <si>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</si>
  <si>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</si>
  <si>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</si>
  <si>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</si>
  <si>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</si>
  <si>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</si>
  <si>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</si>
  <si>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</si>
  <si>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</si>
  <si>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</si>
  <si>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</si>
  <si>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</si>
  <si>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</si>
  <si>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</si>
  <si>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</si>
  <si>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</si>
  <si>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</si>
  <si>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</si>
  <si>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</si>
  <si>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</si>
  <si>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</si>
  <si>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</si>
  <si>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</si>
  <si>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</si>
  <si>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</si>
  <si>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</si>
  <si>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</si>
  <si>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</si>
  <si>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</si>
  <si>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</si>
  <si>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</si>
  <si>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</si>
  <si>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</si>
  <si>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</si>
  <si>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</si>
  <si>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</si>
  <si>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</si>
  <si>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</si>
  <si>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</si>
  <si>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</si>
  <si>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</si>
  <si>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</si>
  <si>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</si>
  <si>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</si>
  <si>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</si>
  <si>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</si>
  <si>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</si>
  <si>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</si>
  <si>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</si>
  <si>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</si>
  <si>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</si>
  <si>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</si>
  <si>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</si>
  <si>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</si>
  <si>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</si>
  <si>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</si>
  <si>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</si>
  <si>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</si>
  <si>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</si>
  <si>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</si>
  <si>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</si>
  <si>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</si>
  <si>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</si>
  <si>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</si>
  <si>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</si>
  <si>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</si>
  <si>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</si>
  <si>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</si>
  <si>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</si>
  <si>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</si>
  <si>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</si>
  <si>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</si>
  <si>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</si>
  <si>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</si>
  <si>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</si>
  <si>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</si>
  <si>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</si>
  <si>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</si>
  <si>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</si>
  <si>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</si>
  <si>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</si>
  <si>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</si>
  <si>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</si>
  <si>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</si>
  <si>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</si>
  <si>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</si>
  <si>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</si>
  <si>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</si>
  <si>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</si>
  <si>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</si>
  <si>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</si>
  <si>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</si>
  <si>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</si>
  <si>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</si>
  <si>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</si>
  <si>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</si>
  <si>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</si>
  <si>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</si>
  <si>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</si>
  <si>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</si>
  <si>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</si>
  <si>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</si>
  <si>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</si>
  <si>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</si>
  <si>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</si>
  <si>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</si>
  <si>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</si>
  <si>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</si>
  <si>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</si>
  <si>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</si>
  <si>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</si>
  <si>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</si>
  <si>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</si>
  <si>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</si>
  <si>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</si>
  <si>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</si>
  <si>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</si>
  <si>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</si>
  <si>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</si>
  <si>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</si>
  <si>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</si>
  <si>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</si>
  <si>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</si>
  <si>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</si>
  <si>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</si>
  <si>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</si>
  <si>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</si>
  <si>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</si>
  <si>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</si>
  <si>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</si>
  <si>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</si>
  <si>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</si>
  <si>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</si>
  <si>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</si>
  <si>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</si>
  <si>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</si>
  <si>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</si>
  <si>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</si>
  <si>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</si>
  <si>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</si>
  <si>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</si>
  <si>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</si>
  <si>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</si>
  <si>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</si>
  <si>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</si>
  <si>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</si>
  <si>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</si>
  <si>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</si>
  <si>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</si>
  <si>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</si>
  <si>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</si>
  <si>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</si>
  <si>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</si>
  <si>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</si>
  <si>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</si>
  <si>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</si>
  <si>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</si>
  <si>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</si>
  <si>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</si>
  <si>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</si>
  <si>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</si>
  <si>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</si>
  <si>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</si>
  <si>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</si>
  <si>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</si>
  <si>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</si>
  <si>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</si>
  <si>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</si>
  <si>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</si>
  <si>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</si>
  <si>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</si>
  <si>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</si>
  <si>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</si>
  <si>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</si>
  <si>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</si>
  <si>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</si>
  <si>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</si>
  <si>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</si>
  <si>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</si>
  <si>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</si>
  <si>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</si>
  <si>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</si>
  <si>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</si>
  <si>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</si>
  <si>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</si>
  <si>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</si>
  <si>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</si>
  <si>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</si>
  <si>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</si>
  <si>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</si>
  <si>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</si>
  <si>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</si>
  <si>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</si>
  <si>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</si>
  <si>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</si>
  <si>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</si>
  <si>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</si>
  <si>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</si>
  <si>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</si>
  <si>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</si>
  <si>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</si>
  <si>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</si>
  <si>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</si>
  <si>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</si>
  <si>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</si>
  <si>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</si>
  <si>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</si>
  <si>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</si>
  <si>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</si>
  <si>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</si>
  <si>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</si>
  <si>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</si>
  <si>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</si>
  <si>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</si>
  <si>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</si>
  <si>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</si>
  <si>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</si>
  <si>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</si>
  <si>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</si>
  <si>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</si>
  <si>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</si>
  <si>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</si>
  <si>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</si>
  <si>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</si>
  <si>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</si>
  <si>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</si>
  <si>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</si>
  <si>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</si>
  <si>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</si>
  <si>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</si>
  <si>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</si>
  <si>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</si>
  <si>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</si>
  <si>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</si>
  <si>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</si>
  <si>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</si>
  <si>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</si>
  <si>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</si>
  <si>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</si>
  <si>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</si>
  <si>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</si>
  <si>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</si>
  <si>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</si>
  <si>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</si>
  <si>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</si>
  <si>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</si>
  <si>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</si>
  <si>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</si>
  <si>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</si>
  <si>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</si>
  <si>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</si>
  <si>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</si>
  <si>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</si>
  <si>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</si>
  <si>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</si>
  <si>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</si>
  <si>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</si>
  <si>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</si>
  <si>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</si>
  <si>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</si>
  <si>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</si>
  <si>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</si>
  <si>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</si>
  <si>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</si>
  <si>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</si>
  <si>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</si>
  <si>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</si>
  <si>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</si>
  <si>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</si>
  <si>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</si>
  <si>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</si>
  <si>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</si>
  <si>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</si>
  <si>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</si>
  <si>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</si>
  <si>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</si>
  <si>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</si>
  <si>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</si>
  <si>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</si>
  <si>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</si>
  <si>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</si>
  <si>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</si>
  <si>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</si>
  <si>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</si>
  <si>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</si>
  <si>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</si>
  <si>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</si>
  <si>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</si>
  <si>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</si>
  <si>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</si>
  <si>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</si>
  <si>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</si>
  <si>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</si>
  <si>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</si>
  <si>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</si>
  <si>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</si>
  <si>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</si>
  <si>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</si>
  <si>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</si>
  <si>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</si>
  <si>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</si>
  <si>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</si>
  <si>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</si>
  <si>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</si>
  <si>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</si>
  <si>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</si>
  <si>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</si>
  <si>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</si>
  <si>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</si>
  <si>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</si>
  <si>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</si>
  <si>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</si>
  <si>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</si>
  <si>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</si>
  <si>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</si>
  <si>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</si>
  <si>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</si>
  <si>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</si>
  <si>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</si>
  <si>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</si>
  <si>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</si>
  <si>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</si>
  <si>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</si>
  <si>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</si>
  <si>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</si>
  <si>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</si>
  <si>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</si>
  <si>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</si>
  <si>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</si>
  <si>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</si>
  <si>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</si>
  <si>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</si>
  <si>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</si>
  <si>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</si>
  <si>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</si>
  <si>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</si>
  <si>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</si>
  <si>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</si>
  <si>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</si>
  <si>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</si>
  <si>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</si>
  <si>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</si>
  <si>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</si>
  <si>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</si>
  <si>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</si>
  <si>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</si>
  <si>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</si>
  <si>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</si>
  <si>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</si>
  <si>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</si>
  <si>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</si>
  <si>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</si>
  <si>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</si>
  <si>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</si>
  <si>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</si>
  <si>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</si>
  <si>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</si>
  <si>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</si>
  <si>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</si>
  <si>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</si>
  <si>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</si>
  <si>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</si>
  <si>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</si>
  <si>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</si>
  <si>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</si>
  <si>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</si>
  <si>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</si>
  <si>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</si>
  <si>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</si>
  <si>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</si>
  <si>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</si>
  <si>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</si>
  <si>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</si>
  <si>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</si>
  <si>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</si>
  <si>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</si>
  <si>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</si>
  <si>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</si>
  <si>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</si>
  <si>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</si>
  <si>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</si>
  <si>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</si>
  <si>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</si>
  <si>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</si>
  <si>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</si>
  <si>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</si>
  <si>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</si>
  <si>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</si>
  <si>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</si>
  <si>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</si>
  <si>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</si>
  <si>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</si>
  <si>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</si>
  <si>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</si>
  <si>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</si>
  <si>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</si>
  <si>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</si>
  <si>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</si>
  <si>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</si>
  <si>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</si>
  <si>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</si>
  <si>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</si>
  <si>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</si>
  <si>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</si>
  <si>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</si>
  <si>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</si>
  <si>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</si>
  <si>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</si>
  <si>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</si>
  <si>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</si>
  <si>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</si>
  <si>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</si>
  <si>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</si>
  <si>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</si>
  <si>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</si>
  <si>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</si>
  <si>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</si>
  <si>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</si>
  <si>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</si>
  <si>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</si>
  <si>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</si>
  <si>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</si>
  <si>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</si>
  <si>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</si>
  <si>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</si>
  <si>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</si>
  <si>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</si>
  <si>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</si>
  <si>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</si>
  <si>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</si>
  <si>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</si>
  <si>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</si>
  <si>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</si>
  <si>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</si>
  <si>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</si>
  <si>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</si>
  <si>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</si>
  <si>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</si>
  <si>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</si>
  <si>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</si>
  <si>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</si>
  <si>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</si>
  <si>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</si>
  <si>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</si>
  <si>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</si>
  <si>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</si>
  <si>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</si>
  <si>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</si>
  <si>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</si>
  <si>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</si>
  <si>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</si>
  <si>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</si>
  <si>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</si>
  <si>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</si>
  <si>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</si>
  <si>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</si>
  <si>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</si>
  <si>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</si>
  <si>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</si>
  <si>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</si>
  <si>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</si>
  <si>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</si>
  <si>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</si>
  <si>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</si>
  <si>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</si>
  <si>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</si>
  <si>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</si>
  <si>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</si>
  <si>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</si>
  <si>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</si>
  <si>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</si>
  <si>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</si>
  <si>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</si>
  <si>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</si>
  <si>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</si>
  <si>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</si>
  <si>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</si>
  <si>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</si>
  <si>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</si>
  <si>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</si>
  <si>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</si>
  <si>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</si>
  <si>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</si>
  <si>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</si>
  <si>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</si>
  <si>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</si>
  <si>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</si>
  <si>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</si>
  <si>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</si>
  <si>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</si>
  <si>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</si>
  <si>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</si>
  <si>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</si>
  <si>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</si>
  <si>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</si>
  <si>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</si>
  <si>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</si>
  <si>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</si>
  <si>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</si>
  <si>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</si>
  <si>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</si>
  <si>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</si>
  <si>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</si>
  <si>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</si>
  <si>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</si>
  <si>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</si>
  <si>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</si>
  <si>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</si>
  <si>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</si>
  <si>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</si>
  <si>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</si>
  <si>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</si>
  <si>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</si>
  <si>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</si>
  <si>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</si>
  <si>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</si>
  <si>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</si>
  <si>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</si>
  <si>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</si>
  <si>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</si>
  <si>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</si>
  <si>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</si>
  <si>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</si>
  <si>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</si>
  <si>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</si>
  <si>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</si>
  <si>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</si>
  <si>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</si>
  <si>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</si>
  <si>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</si>
  <si>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</si>
  <si>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</si>
  <si>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</si>
  <si>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</si>
  <si>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</si>
  <si>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</si>
  <si>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</si>
  <si>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</si>
  <si>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</si>
  <si>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</si>
  <si>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</si>
  <si>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</si>
  <si>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</si>
  <si>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</si>
  <si>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</si>
  <si>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</si>
  <si>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</si>
  <si>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</si>
  <si>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</si>
  <si>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</si>
  <si>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</si>
  <si>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</si>
  <si>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</si>
  <si>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</si>
  <si>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</si>
  <si>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</si>
  <si>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</si>
  <si>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</si>
  <si>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</si>
  <si>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</si>
  <si>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</si>
  <si>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</si>
  <si>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</si>
  <si>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</si>
  <si>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</si>
  <si>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</si>
  <si>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</si>
  <si>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</si>
  <si>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</si>
  <si>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</si>
  <si>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</si>
  <si>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</si>
  <si>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</si>
  <si>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</si>
  <si>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</si>
  <si>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</si>
  <si>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</si>
  <si>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</si>
  <si>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</si>
  <si>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</si>
  <si>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</si>
  <si>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</si>
  <si>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</si>
  <si>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</si>
  <si>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</si>
  <si>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</si>
  <si>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</si>
  <si>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</si>
  <si>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</si>
  <si>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</si>
  <si>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</si>
  <si>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</si>
  <si>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</si>
  <si>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</si>
  <si>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</si>
  <si>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</si>
  <si>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</si>
  <si>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</si>
  <si>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</si>
  <si>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</si>
  <si>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</si>
  <si>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</si>
  <si>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</si>
  <si>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</si>
  <si>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</si>
  <si>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</si>
  <si>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</si>
  <si>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</si>
  <si>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</si>
  <si>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</si>
  <si>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</si>
  <si>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</si>
  <si>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</si>
  <si>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</si>
  <si>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</si>
  <si>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</si>
  <si>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</si>
  <si>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</si>
  <si>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</si>
  <si>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</si>
  <si>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</si>
  <si>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</si>
  <si>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</si>
  <si>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</si>
  <si>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</si>
  <si>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</si>
  <si>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</si>
  <si>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</si>
  <si>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</si>
  <si>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</si>
  <si>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</si>
  <si>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</si>
  <si>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</si>
  <si>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</si>
  <si>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</si>
  <si>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</si>
  <si>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</si>
  <si>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</si>
  <si>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</si>
  <si>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</si>
  <si>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</si>
  <si>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</si>
  <si>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</si>
  <si>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</si>
  <si>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</si>
  <si>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</si>
  <si>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</si>
  <si>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</si>
  <si>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</si>
  <si>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</si>
  <si>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</si>
  <si>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</si>
  <si>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</si>
  <si>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</si>
  <si>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</si>
  <si>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</si>
  <si>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</si>
  <si>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</si>
  <si>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</si>
  <si>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</si>
  <si>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</si>
  <si>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</si>
  <si>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</si>
  <si>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</si>
  <si>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</si>
  <si>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</si>
  <si>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</si>
  <si>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</si>
  <si>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</si>
  <si>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</si>
  <si>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</si>
  <si>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</si>
  <si>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</si>
  <si>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</si>
  <si>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</si>
  <si>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</si>
  <si>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</si>
  <si>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</si>
  <si>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</si>
  <si>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</si>
  <si>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</si>
  <si>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</si>
  <si>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</si>
  <si>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</si>
  <si>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</si>
  <si>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</si>
  <si>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</si>
  <si>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</si>
  <si>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</si>
  <si>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</si>
  <si>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</si>
  <si>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</si>
  <si>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</si>
  <si>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</si>
  <si>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</si>
  <si>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</si>
  <si>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</si>
  <si>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</si>
  <si>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</si>
  <si>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</si>
  <si>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</si>
  <si>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</si>
  <si>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</si>
  <si>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</si>
  <si>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</si>
  <si>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</si>
  <si>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</si>
  <si>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</si>
  <si>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</si>
  <si>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</si>
  <si>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</si>
  <si>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</si>
  <si>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</si>
  <si>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</si>
  <si>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</si>
  <si>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</si>
  <si>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</si>
  <si>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</si>
  <si>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</si>
  <si>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</si>
  <si>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</si>
  <si>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</si>
  <si>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</si>
  <si>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</si>
  <si>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</si>
  <si>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</si>
  <si>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</si>
  <si>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</si>
  <si>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</si>
  <si>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</si>
  <si>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</si>
  <si>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</si>
  <si>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</si>
  <si>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</si>
  <si>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</si>
  <si>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</si>
  <si>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</si>
  <si>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</si>
  <si>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</si>
  <si>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</si>
  <si>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</si>
  <si>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</si>
  <si>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</si>
  <si>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</si>
  <si>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</si>
  <si>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</si>
  <si>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</si>
  <si>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</si>
  <si>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</si>
  <si>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</si>
  <si>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</si>
  <si>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</si>
  <si>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</si>
  <si>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</si>
  <si>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</si>
  <si>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</si>
  <si>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</si>
  <si>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</si>
  <si>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</si>
  <si>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</si>
  <si>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</si>
  <si>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</si>
  <si>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</si>
  <si>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</si>
  <si>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</si>
  <si>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</si>
  <si>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</si>
  <si>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</si>
  <si>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</si>
  <si>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</si>
  <si>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</si>
  <si>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</si>
  <si>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</si>
  <si>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</si>
  <si>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</si>
  <si>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</si>
  <si>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</si>
  <si>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</si>
  <si>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</si>
  <si>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</si>
  <si>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</si>
  <si>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</si>
  <si>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</si>
  <si>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</si>
  <si>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</si>
  <si>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</si>
  <si>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</si>
  <si>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</si>
  <si>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</si>
  <si>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</si>
  <si>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</si>
  <si>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</si>
  <si>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</si>
  <si>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</si>
  <si>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</si>
  <si>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</si>
  <si>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</si>
  <si>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</si>
  <si>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</si>
  <si>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</si>
  <si>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</si>
  <si>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</si>
  <si>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</si>
  <si>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</si>
  <si>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</si>
  <si>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</si>
  <si>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</si>
  <si>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</si>
  <si>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</si>
  <si>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</si>
  <si>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</si>
  <si>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</si>
  <si>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</si>
  <si>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</si>
  <si>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</si>
  <si>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</si>
  <si>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</si>
  <si>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</si>
  <si>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</si>
  <si>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</si>
  <si>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</si>
  <si>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</si>
  <si>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</si>
  <si>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</si>
  <si>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</si>
  <si>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</si>
  <si>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</si>
  <si>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</si>
  <si>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</si>
  <si>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</si>
  <si>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</si>
  <si>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</si>
  <si>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</si>
  <si>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</si>
  <si>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</si>
  <si>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</si>
  <si>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</si>
  <si>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</si>
  <si>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</si>
  <si>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</si>
  <si>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</si>
  <si>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</si>
  <si>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</si>
  <si>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</si>
  <si>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</si>
  <si>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</si>
  <si>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</si>
  <si>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</si>
  <si>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</si>
  <si>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</si>
  <si>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</si>
  <si>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</si>
  <si>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</si>
  <si>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</si>
  <si>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</si>
  <si>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</si>
  <si>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</si>
  <si>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</si>
  <si>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</si>
  <si>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</si>
  <si>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</si>
  <si>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</si>
  <si>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</si>
  <si>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</si>
  <si>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</si>
  <si>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</si>
  <si>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</si>
  <si>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</si>
  <si>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</si>
  <si>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</si>
  <si>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</si>
  <si>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</si>
  <si>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</si>
  <si>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</si>
  <si>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</si>
  <si>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</si>
  <si>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</si>
  <si>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</si>
  <si>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</si>
  <si>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</si>
  <si>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</si>
  <si>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</si>
  <si>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</si>
  <si>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</si>
  <si>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</si>
  <si>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</si>
  <si>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</si>
  <si>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</si>
  <si>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</si>
  <si>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</si>
  <si>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</si>
  <si>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</si>
  <si>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</si>
  <si>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</si>
  <si>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</si>
  <si>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</si>
  <si>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</si>
  <si>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</si>
  <si>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</si>
  <si>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</si>
  <si>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</si>
  <si>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</si>
  <si>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</si>
  <si>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</si>
  <si>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</si>
  <si>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</si>
  <si>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</si>
  <si>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</si>
  <si>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</si>
  <si>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</si>
  <si>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</si>
  <si>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</si>
  <si>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</si>
  <si>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</si>
  <si>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</si>
  <si>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</si>
  <si>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</si>
  <si>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</si>
  <si>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</si>
  <si>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</si>
  <si>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</si>
  <si>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</si>
  <si>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</si>
  <si>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</si>
  <si>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</si>
  <si>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</si>
  <si>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</si>
  <si>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</si>
  <si>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</si>
  <si>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</si>
  <si>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</si>
  <si>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</si>
  <si>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</si>
  <si>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</si>
  <si>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</si>
  <si>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</si>
  <si>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</si>
  <si>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</si>
  <si>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</si>
  <si>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</si>
  <si>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</si>
  <si>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</si>
  <si>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</si>
  <si>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</si>
  <si>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</si>
  <si>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</si>
  <si>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</si>
  <si>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</si>
  <si>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</si>
  <si>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</si>
  <si>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</si>
  <si>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</si>
  <si>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</si>
  <si>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</si>
  <si>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</si>
  <si>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</si>
  <si>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</si>
  <si>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</si>
  <si>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</si>
  <si>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</si>
  <si>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</si>
  <si>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</si>
  <si>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</si>
  <si>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</si>
  <si>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</si>
  <si>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</si>
  <si>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</si>
  <si>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</si>
  <si>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</si>
  <si>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</si>
  <si>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</si>
  <si>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</si>
  <si>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</si>
  <si>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</si>
  <si>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</si>
  <si>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</si>
  <si>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</si>
  <si>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</si>
  <si>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</si>
  <si>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</si>
  <si>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</si>
  <si>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</si>
  <si>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</si>
  <si>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</si>
  <si>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</si>
  <si>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</si>
  <si>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</si>
  <si>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</si>
  <si>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</si>
  <si>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</si>
  <si>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</si>
  <si>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</si>
  <si>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</si>
  <si>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</si>
  <si>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</si>
  <si>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</si>
  <si>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</si>
  <si>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</si>
  <si>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</si>
  <si>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</si>
  <si>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</si>
  <si>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</si>
  <si>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</si>
  <si>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</si>
  <si>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</si>
  <si>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</si>
  <si>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</si>
  <si>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</si>
  <si>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</si>
  <si>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</si>
  <si>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</si>
  <si>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</si>
  <si>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</si>
  <si>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</si>
  <si>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</si>
  <si>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</si>
  <si>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</si>
  <si>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</si>
  <si>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</si>
  <si>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</si>
  <si>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</si>
  <si>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</si>
  <si>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</si>
  <si>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</si>
  <si>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</si>
  <si>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</si>
  <si>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</si>
  <si>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</si>
  <si>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</si>
  <si>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</si>
  <si>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</si>
  <si>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</si>
  <si>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</si>
  <si>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</si>
  <si>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</si>
  <si>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</si>
  <si>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</si>
  <si>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</si>
  <si>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</si>
  <si>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</si>
  <si>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</si>
  <si>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</si>
  <si>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</si>
  <si>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</si>
  <si>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</si>
  <si>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</si>
  <si>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</si>
  <si>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</si>
  <si>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</si>
  <si>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</si>
  <si>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</si>
  <si>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</si>
  <si>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</si>
  <si>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</si>
  <si>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</si>
  <si>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</si>
  <si>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</si>
  <si>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</si>
  <si>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</si>
  <si>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</si>
  <si>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</si>
  <si>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</si>
  <si>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</si>
  <si>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</si>
  <si>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</si>
  <si>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</si>
  <si>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</si>
  <si>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</si>
  <si>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</si>
  <si>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</si>
  <si>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</si>
  <si>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</si>
  <si>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</si>
  <si>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</si>
  <si>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</si>
  <si>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</si>
  <si>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</si>
  <si>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</si>
  <si>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</si>
  <si>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</si>
  <si>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</si>
  <si>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</si>
  <si>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</si>
  <si>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</si>
  <si>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</si>
  <si>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</si>
  <si>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</si>
  <si>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</si>
  <si>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</si>
  <si>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</si>
  <si>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</si>
  <si>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</si>
  <si>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</si>
  <si>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</si>
  <si>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</si>
  <si>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</si>
  <si>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</si>
  <si>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</si>
  <si>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</si>
  <si>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</si>
  <si>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</si>
  <si>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</si>
  <si>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</si>
  <si>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</si>
  <si>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</si>
  <si>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</si>
  <si>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</si>
  <si>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</si>
  <si>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</si>
  <si>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</si>
  <si>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</si>
  <si>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</si>
  <si>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</si>
  <si>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</si>
  <si>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</si>
  <si>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</si>
  <si>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</si>
  <si>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</si>
  <si>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</si>
  <si>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</si>
  <si>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</si>
  <si>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</si>
  <si>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</si>
  <si>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</si>
  <si>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</si>
  <si>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</si>
  <si>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</si>
  <si>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</si>
  <si>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</si>
  <si>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</si>
  <si>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</si>
  <si>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</si>
  <si>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</si>
  <si>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</si>
  <si>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</si>
  <si>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</si>
  <si>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</si>
  <si>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</si>
  <si>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</si>
  <si>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</si>
  <si>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</si>
  <si>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</si>
  <si>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</si>
  <si>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</si>
  <si>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</si>
  <si>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</si>
  <si>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</si>
  <si>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</si>
  <si>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</si>
  <si>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</si>
  <si>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</si>
  <si>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</si>
  <si>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</si>
  <si>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</si>
  <si>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</si>
  <si>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</si>
  <si>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</si>
  <si>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</si>
  <si>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</si>
  <si>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</si>
  <si>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</si>
  <si>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</si>
  <si>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</si>
  <si>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</si>
  <si>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</si>
  <si>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</si>
  <si>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</si>
  <si>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</si>
  <si>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</si>
  <si>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</si>
  <si>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</si>
  <si>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</si>
  <si>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</si>
  <si>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</si>
  <si>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</si>
  <si>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</si>
  <si>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</si>
  <si>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</si>
  <si>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</si>
  <si>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</si>
  <si>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</si>
  <si>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</si>
  <si>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</si>
  <si>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</si>
  <si>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</si>
  <si>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</si>
  <si>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</si>
  <si>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</si>
  <si>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</si>
  <si>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</si>
  <si>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</si>
  <si>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</si>
  <si>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</si>
  <si>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</si>
  <si>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</si>
  <si>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</si>
  <si>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</si>
  <si>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</si>
  <si>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</si>
  <si>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</si>
  <si>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</si>
  <si>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</si>
  <si>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</si>
  <si>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</si>
  <si>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</si>
  <si>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</si>
  <si>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</si>
  <si>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</si>
  <si>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</si>
  <si>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</si>
  <si>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</si>
  <si>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</si>
  <si>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</si>
  <si>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</si>
  <si>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</si>
  <si>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</si>
  <si>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</si>
  <si>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</si>
  <si>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</si>
  <si>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</si>
  <si>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</si>
  <si>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</si>
  <si>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</si>
  <si>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</si>
  <si>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</si>
  <si>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</si>
  <si>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</si>
  <si>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</si>
  <si>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</si>
  <si>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</si>
  <si>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</si>
  <si>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</si>
  <si>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</si>
  <si>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</si>
  <si>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</si>
  <si>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</si>
  <si>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</si>
  <si>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</si>
  <si>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</si>
  <si>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</si>
  <si>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</si>
  <si>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</si>
  <si>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</si>
  <si>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</si>
  <si>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</si>
  <si>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</si>
  <si>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</si>
  <si>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</si>
  <si>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</si>
  <si>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</si>
  <si>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</si>
  <si>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</si>
  <si>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</si>
  <si>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</si>
  <si>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</si>
  <si>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</si>
  <si>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</si>
  <si>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</si>
  <si>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</si>
  <si>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</si>
  <si>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</si>
  <si>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</si>
  <si>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</si>
  <si>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</si>
  <si>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</si>
  <si>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</si>
  <si>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</si>
  <si>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</si>
  <si>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</si>
  <si>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</si>
  <si>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</si>
  <si>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</si>
  <si>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</si>
  <si>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</si>
  <si>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</si>
  <si>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</si>
  <si>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</si>
  <si>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</si>
  <si>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</si>
  <si>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</si>
  <si>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</si>
  <si>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</si>
  <si>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</si>
  <si>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</si>
  <si>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</si>
  <si>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</si>
  <si>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</si>
  <si>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</si>
  <si>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</si>
  <si>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</si>
  <si>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</si>
  <si>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</si>
  <si>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</si>
  <si>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</si>
  <si>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</si>
  <si>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</si>
  <si>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</si>
  <si>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</si>
  <si>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</si>
  <si>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</si>
  <si>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</si>
  <si>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</si>
  <si>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</si>
  <si>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</si>
  <si>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</si>
  <si>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</si>
  <si>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</si>
  <si>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</si>
  <si>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</si>
  <si>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</si>
  <si>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</si>
  <si>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</si>
  <si>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</si>
  <si>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</si>
  <si>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</si>
  <si>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</si>
  <si>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</si>
  <si>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</si>
  <si>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</si>
  <si>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</si>
  <si>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</si>
  <si>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</si>
  <si>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</si>
  <si>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</si>
  <si>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</si>
  <si>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</si>
  <si>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</si>
  <si>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</si>
  <si>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</si>
  <si>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</si>
  <si>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</si>
  <si>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</si>
  <si>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</si>
  <si>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</si>
  <si>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</si>
  <si>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</si>
  <si>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</si>
  <si>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</si>
  <si>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</si>
  <si>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</si>
  <si>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</si>
  <si>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</si>
  <si>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</si>
  <si>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</si>
  <si>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</si>
  <si>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</si>
  <si>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</si>
  <si>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</si>
  <si>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</si>
  <si>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</si>
  <si>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</si>
  <si>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</si>
  <si>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</si>
  <si>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</si>
  <si>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</si>
  <si>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</si>
  <si>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</si>
  <si>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</si>
  <si>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</si>
  <si>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</si>
  <si>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</si>
  <si>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</si>
  <si>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</si>
  <si>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</si>
  <si>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</si>
  <si>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</si>
  <si>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</si>
  <si>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</si>
  <si>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</si>
  <si>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</si>
  <si>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</si>
  <si>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</si>
  <si>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</si>
  <si>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</si>
  <si>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</si>
  <si>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</si>
  <si>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</si>
  <si>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</si>
  <si>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</si>
  <si>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</si>
  <si>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</si>
  <si>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</si>
  <si>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</si>
  <si>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</si>
  <si>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</si>
  <si>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</si>
  <si>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</si>
  <si>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</si>
  <si>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</si>
  <si>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</si>
  <si>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</si>
  <si>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</si>
  <si>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</si>
  <si>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</si>
  <si>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</si>
  <si>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</si>
  <si>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</si>
  <si>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</si>
  <si>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</si>
  <si>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</si>
  <si>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</si>
  <si>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</si>
  <si>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</si>
  <si>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</si>
  <si>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</si>
  <si>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</si>
  <si>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</si>
  <si>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</si>
  <si>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</si>
  <si>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</si>
  <si>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</si>
  <si>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</si>
  <si>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</si>
  <si>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</si>
  <si>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</si>
  <si>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</si>
  <si>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</si>
  <si>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</si>
  <si>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</si>
  <si>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</si>
  <si>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</si>
  <si>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</si>
  <si>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</si>
  <si>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</si>
  <si>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</si>
  <si>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</si>
  <si>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</si>
  <si>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</si>
  <si>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</si>
  <si>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</si>
  <si>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</si>
  <si>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</si>
  <si>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</si>
  <si>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</si>
  <si>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</si>
  <si>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</si>
  <si>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</si>
  <si>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</si>
  <si>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</si>
  <si>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</si>
  <si>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</si>
  <si>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</si>
  <si>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</si>
  <si>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</si>
  <si>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</si>
  <si>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</si>
  <si>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</si>
  <si>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</si>
  <si>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</si>
  <si>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</si>
  <si>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</si>
  <si>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</si>
  <si>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</si>
  <si>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</si>
  <si>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</si>
  <si>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</si>
  <si>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</si>
  <si>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</si>
  <si>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</si>
  <si>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</si>
  <si>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</si>
  <si>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</si>
  <si>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</si>
  <si>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</si>
  <si>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</si>
  <si>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</si>
  <si>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</si>
  <si>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</si>
  <si>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</si>
  <si>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</si>
  <si>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</si>
  <si>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</si>
  <si>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</si>
  <si>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</si>
  <si>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</si>
  <si>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</si>
  <si>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</si>
  <si>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</si>
  <si>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</si>
  <si>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</si>
  <si>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</si>
  <si>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</si>
  <si>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</si>
  <si>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</si>
  <si>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</si>
  <si>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</si>
  <si>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</si>
  <si>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</si>
  <si>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</si>
  <si>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</si>
  <si>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</si>
  <si>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</si>
  <si>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</si>
  <si>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</si>
  <si>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</si>
  <si>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</si>
  <si>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</si>
  <si>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</si>
  <si>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</si>
  <si>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</si>
  <si>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</si>
  <si>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</si>
  <si>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</si>
  <si>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</si>
  <si>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</si>
  <si>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</si>
  <si>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</si>
  <si>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</si>
  <si>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</si>
  <si>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</si>
  <si>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</si>
  <si>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</si>
  <si>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</si>
  <si>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</si>
  <si>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</si>
  <si>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</si>
  <si>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</si>
  <si>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</si>
  <si>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</si>
  <si>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</si>
  <si>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</si>
  <si>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</si>
  <si>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</si>
  <si>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</si>
  <si>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</si>
  <si>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</si>
  <si>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</si>
  <si>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</si>
  <si>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</si>
  <si>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</si>
  <si>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</si>
  <si>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</si>
  <si>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</si>
  <si>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</si>
  <si>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</si>
  <si>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</si>
  <si>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</si>
  <si>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</si>
  <si>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</si>
  <si>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</si>
  <si>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</si>
  <si>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</si>
  <si>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</si>
  <si>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</si>
  <si>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</si>
  <si>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</si>
  <si>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</si>
  <si>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</si>
  <si>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</si>
  <si>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</si>
  <si>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</si>
  <si>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</si>
  <si>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</si>
  <si>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</si>
  <si>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</si>
  <si>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</si>
  <si>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</si>
  <si>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</si>
  <si>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</si>
  <si>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</si>
  <si>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</si>
  <si>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</si>
  <si>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</si>
  <si>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</si>
  <si>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</si>
  <si>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</si>
  <si>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</si>
  <si>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</si>
  <si>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</si>
  <si>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</si>
  <si>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</si>
  <si>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</si>
  <si>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</si>
  <si>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</si>
  <si>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</si>
  <si>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</si>
  <si>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</si>
  <si>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</si>
  <si>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</si>
  <si>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</si>
  <si>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</si>
  <si>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</si>
  <si>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</si>
  <si>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</si>
  <si>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</si>
  <si>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</si>
  <si>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</si>
  <si>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</si>
  <si>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</si>
  <si>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</si>
  <si>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</si>
  <si>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</si>
  <si>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</si>
  <si>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</si>
  <si>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</si>
  <si>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</si>
  <si>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</si>
  <si>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</si>
  <si>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</si>
  <si>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</si>
  <si>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</si>
  <si>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</si>
  <si>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</si>
  <si>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</si>
  <si>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</si>
  <si>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</si>
  <si>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</si>
  <si>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</si>
  <si>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</si>
  <si>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</si>
  <si>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</si>
  <si>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</si>
  <si>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</si>
  <si>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</si>
  <si>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</si>
  <si>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</si>
  <si>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</si>
  <si>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</si>
  <si>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</si>
  <si>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</si>
  <si>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</si>
  <si>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</si>
  <si>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</si>
  <si>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</si>
  <si>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</si>
  <si>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</si>
  <si>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</si>
  <si>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</si>
  <si>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</si>
  <si>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</si>
  <si>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</si>
  <si>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</si>
  <si>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</si>
  <si>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</si>
  <si>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</si>
  <si>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</si>
  <si>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</si>
  <si>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</si>
  <si>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</si>
  <si>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</si>
  <si>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</si>
  <si>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</si>
  <si>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</si>
  <si>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</si>
  <si>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</si>
  <si>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</si>
  <si>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</si>
  <si>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</si>
  <si>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</si>
  <si>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</si>
  <si>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</si>
  <si>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</si>
  <si>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</si>
  <si>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</si>
  <si>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</si>
  <si>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</si>
  <si>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</si>
  <si>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</si>
  <si>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</si>
  <si>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</si>
  <si>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</si>
  <si>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</si>
  <si>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</si>
  <si>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</si>
  <si>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</si>
  <si>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</si>
  <si>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</si>
  <si>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</si>
  <si>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</si>
  <si>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</si>
  <si>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</si>
  <si>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</si>
  <si>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</si>
  <si>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</si>
  <si>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</si>
  <si>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</si>
  <si>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</si>
  <si>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</si>
  <si>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</si>
  <si>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</si>
  <si>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</si>
  <si>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</si>
  <si>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</si>
  <si>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</si>
  <si>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</si>
  <si>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</si>
  <si>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</si>
  <si>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</si>
  <si>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</si>
  <si>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</si>
  <si>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</si>
  <si>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</si>
  <si>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</si>
  <si>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</si>
  <si>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</si>
  <si>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</si>
  <si>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</si>
  <si>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</si>
  <si>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</si>
  <si>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</si>
  <si>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</si>
  <si>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</si>
  <si>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</si>
  <si>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</si>
  <si>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</si>
  <si>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</si>
  <si>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</si>
  <si>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</si>
  <si>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</si>
  <si>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</si>
  <si>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</si>
  <si>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</si>
  <si>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</si>
  <si>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</si>
  <si>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</si>
  <si>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</si>
  <si>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</si>
  <si>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</si>
  <si>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</si>
  <si>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</si>
  <si>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</si>
  <si>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</si>
  <si>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</si>
  <si>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</si>
  <si>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</si>
  <si>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</si>
  <si>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</si>
  <si>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</si>
  <si>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</si>
  <si>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</si>
  <si>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</si>
  <si>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</si>
  <si>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</si>
  <si>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</si>
  <si>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</si>
  <si>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</si>
  <si>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</si>
  <si>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</si>
  <si>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</si>
  <si>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</si>
  <si>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</si>
  <si>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</si>
  <si>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</si>
  <si>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</si>
  <si>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</si>
  <si>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</si>
  <si>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</si>
  <si>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</si>
  <si>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</si>
  <si>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</si>
  <si>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</si>
  <si>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</si>
  <si>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</si>
  <si>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</si>
  <si>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</si>
  <si>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</si>
  <si>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</si>
  <si>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</si>
  <si>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</si>
  <si>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</si>
  <si>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</si>
  <si>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</si>
  <si>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</si>
  <si>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</si>
  <si>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</si>
  <si>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</si>
  <si>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</si>
  <si>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</si>
  <si>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</si>
  <si>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</si>
  <si>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</si>
  <si>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</si>
  <si>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</si>
  <si>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</si>
  <si>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</si>
  <si>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</si>
  <si>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</si>
  <si>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</si>
  <si>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</si>
  <si>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</si>
  <si>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</si>
  <si>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</si>
  <si>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</si>
  <si>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</si>
  <si>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</si>
  <si>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</si>
  <si>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</si>
  <si>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</si>
  <si>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</si>
  <si>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</si>
  <si>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</si>
  <si>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</si>
  <si>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</si>
  <si>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</si>
  <si>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</si>
  <si>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</si>
  <si>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</si>
  <si>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</si>
  <si>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</si>
  <si>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</si>
  <si>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</si>
  <si>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</si>
  <si>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</si>
  <si>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</si>
  <si>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</si>
  <si>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</si>
  <si>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</si>
  <si>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</si>
  <si>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</si>
  <si>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</si>
  <si>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</si>
  <si>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</si>
  <si>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</si>
  <si>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</si>
  <si>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</si>
  <si>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</si>
  <si>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</si>
  <si>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</si>
  <si>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</si>
  <si>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</si>
  <si>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</si>
  <si>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</si>
  <si>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</si>
  <si>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</si>
  <si>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</si>
  <si>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</si>
  <si>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</si>
  <si>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</si>
  <si>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</si>
  <si>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</si>
  <si>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</si>
  <si>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</si>
  <si>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</si>
  <si>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</si>
  <si>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</si>
  <si>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</si>
  <si>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</si>
  <si>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</si>
  <si>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</si>
  <si>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</si>
  <si>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</si>
  <si>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</si>
  <si>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</si>
  <si>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</si>
  <si>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</si>
  <si>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</si>
  <si>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</si>
  <si>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</si>
  <si>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</si>
  <si>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</si>
  <si>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</si>
  <si>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</si>
  <si>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</si>
  <si>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</si>
  <si>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</si>
  <si>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</si>
  <si>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</si>
  <si>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</si>
  <si>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</si>
  <si>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</si>
  <si>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</si>
  <si>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</si>
  <si>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</si>
  <si>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</si>
  <si>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</si>
  <si>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</si>
  <si>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</si>
  <si>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</si>
  <si>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</si>
  <si>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</si>
  <si>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</si>
  <si>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</si>
  <si>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</si>
  <si>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</si>
  <si>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</si>
  <si>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</si>
  <si>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</si>
  <si>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</si>
  <si>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</si>
  <si>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</si>
  <si>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</si>
  <si>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</si>
  <si>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</si>
  <si>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</si>
  <si>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</si>
  <si>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</si>
  <si>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</si>
  <si>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</si>
  <si>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</si>
  <si>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</si>
  <si>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</si>
  <si>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</si>
  <si>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</si>
  <si>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</si>
  <si>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</si>
  <si>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</si>
  <si>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</si>
  <si>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</si>
  <si>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</si>
  <si>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</si>
  <si>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</si>
  <si>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</si>
  <si>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</si>
  <si>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</si>
  <si>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</si>
  <si>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</si>
  <si>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</si>
  <si>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</si>
  <si>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</si>
  <si>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</si>
  <si>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</si>
  <si>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</si>
  <si>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</si>
  <si>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</si>
  <si>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</si>
  <si>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</si>
  <si>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</si>
  <si>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</si>
  <si>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</si>
  <si>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</si>
  <si>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</si>
  <si>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</si>
  <si>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</si>
  <si>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</si>
  <si>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</si>
  <si>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</si>
  <si>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</si>
  <si>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</si>
  <si>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</si>
  <si>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</si>
  <si>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</si>
  <si>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</si>
  <si>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</si>
  <si>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</si>
  <si>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</si>
  <si>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</si>
  <si>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</si>
  <si>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</si>
  <si>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</si>
  <si>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</si>
  <si>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</si>
  <si>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</si>
  <si>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</si>
  <si>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</si>
  <si>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</si>
  <si>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</si>
  <si>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</si>
  <si>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</si>
  <si>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</si>
  <si>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</si>
  <si>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</si>
  <si>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</si>
  <si>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</si>
  <si>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</si>
  <si>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</si>
  <si>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</si>
  <si>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</si>
  <si>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</si>
  <si>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</si>
  <si>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</si>
  <si>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</si>
  <si>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</si>
  <si>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</si>
  <si>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</si>
  <si>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</si>
  <si>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</si>
  <si>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</si>
  <si>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</si>
  <si>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</si>
  <si>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</si>
  <si>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</si>
  <si>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</si>
  <si>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</si>
  <si>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</si>
  <si>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</si>
  <si>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</si>
  <si>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</si>
  <si>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</si>
  <si>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</si>
  <si>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</si>
  <si>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</si>
  <si>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</si>
  <si>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</si>
  <si>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</si>
  <si>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</si>
  <si>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</si>
  <si>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</si>
  <si>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</si>
  <si>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</si>
  <si>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</si>
  <si>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</si>
  <si>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</si>
  <si>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</si>
  <si>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</si>
  <si>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</si>
  <si>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</si>
  <si>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</si>
  <si>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</si>
  <si>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</si>
  <si>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</si>
  <si>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</si>
  <si>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</si>
  <si>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</si>
  <si>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</si>
  <si>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</si>
  <si>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</si>
  <si>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</si>
  <si>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</si>
  <si>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</si>
  <si>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</si>
  <si>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</si>
  <si>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</si>
  <si>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</si>
  <si>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</si>
  <si>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</si>
  <si>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</si>
  <si>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</si>
  <si>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</si>
  <si>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</si>
  <si>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</si>
  <si>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</si>
  <si>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</si>
  <si>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</si>
  <si>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</si>
  <si>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</si>
  <si>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</si>
  <si>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</si>
  <si>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</si>
  <si>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</si>
  <si>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</si>
  <si>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</si>
  <si>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</si>
  <si>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</si>
  <si>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</si>
  <si>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</si>
  <si>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</si>
  <si>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</si>
  <si>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</si>
  <si>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</si>
  <si>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</si>
  <si>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</si>
  <si>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</si>
  <si>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</si>
  <si>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</si>
  <si>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</si>
  <si>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</si>
  <si>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</si>
  <si>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</si>
  <si>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</si>
  <si>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</si>
  <si>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</si>
  <si>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</si>
  <si>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</si>
  <si>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</si>
  <si>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</si>
  <si>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</si>
  <si>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</si>
  <si>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</si>
  <si>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</si>
  <si>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</si>
  <si>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</si>
  <si>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</si>
  <si>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</si>
  <si>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</si>
  <si>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</si>
  <si>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</si>
  <si>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</si>
  <si>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</si>
  <si>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</si>
  <si>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</si>
  <si>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</si>
  <si>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</si>
  <si>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</si>
  <si>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</si>
  <si>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</si>
  <si>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</si>
  <si>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</si>
  <si>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</si>
  <si>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</si>
  <si>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</si>
  <si>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</si>
  <si>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</si>
  <si>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</si>
  <si>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</si>
  <si>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</si>
  <si>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</si>
  <si>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</si>
  <si>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</si>
  <si>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</si>
  <si>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</si>
  <si>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</si>
  <si>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</si>
  <si>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</si>
  <si>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</si>
  <si>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</si>
  <si>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</si>
  <si>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</si>
  <si>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</si>
  <si>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</si>
  <si>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</si>
  <si>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</si>
  <si>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</si>
  <si>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</si>
  <si>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</si>
  <si>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</si>
  <si>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</si>
  <si>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</si>
  <si>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</si>
  <si>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</si>
  <si>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</si>
  <si>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</si>
  <si>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</si>
  <si>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</si>
  <si>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</si>
  <si>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</si>
  <si>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</si>
  <si>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</si>
  <si>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</si>
  <si>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</si>
  <si>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</si>
  <si>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</si>
  <si>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</si>
  <si>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</si>
  <si>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</si>
  <si>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</si>
  <si>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</si>
  <si>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</si>
  <si>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</si>
  <si>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</si>
  <si>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</si>
  <si>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</si>
  <si>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</si>
  <si>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</si>
  <si>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</si>
  <si>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</si>
  <si>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</si>
  <si>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</si>
  <si>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</si>
  <si>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</si>
  <si>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</si>
  <si>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</si>
  <si>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</si>
  <si>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</si>
  <si>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</si>
  <si>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</si>
  <si>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</si>
  <si>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</si>
  <si>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</si>
  <si>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</si>
  <si>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</si>
  <si>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</si>
  <si>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</si>
  <si>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</si>
  <si>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</si>
  <si>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</si>
  <si>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</si>
  <si>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</si>
  <si>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</si>
  <si>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</si>
  <si>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</si>
  <si>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</si>
  <si>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</si>
  <si>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</si>
  <si>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</si>
  <si>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</si>
  <si>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</si>
  <si>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</si>
  <si>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</si>
  <si>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</si>
  <si>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</si>
  <si>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</si>
  <si>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</si>
  <si>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</si>
  <si>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</si>
  <si>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</si>
  <si>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</si>
  <si>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</si>
  <si>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</si>
  <si>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</si>
  <si>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</si>
  <si>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</si>
  <si>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</si>
  <si>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</si>
  <si>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</si>
  <si>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</si>
  <si>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</si>
  <si>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</si>
  <si>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</si>
  <si>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</si>
  <si>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</si>
  <si>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</si>
  <si>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</si>
  <si>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</si>
  <si>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</si>
  <si>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</si>
  <si>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</si>
  <si>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</si>
  <si>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</si>
  <si>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</si>
  <si>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</si>
  <si>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</si>
  <si>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</si>
  <si>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</si>
  <si>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</si>
  <si>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</si>
  <si>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</si>
  <si>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</si>
  <si>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</si>
  <si>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</si>
  <si>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</si>
  <si>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</si>
  <si>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</si>
  <si>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</si>
  <si>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</si>
  <si>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</si>
  <si>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</si>
  <si>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</si>
  <si>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</si>
  <si>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</si>
  <si>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</si>
  <si>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</si>
  <si>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</si>
  <si>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</si>
  <si>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</si>
  <si>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</si>
  <si>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</si>
  <si>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</si>
  <si>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</si>
  <si>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</si>
  <si>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</si>
  <si>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</si>
  <si>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</si>
  <si>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</si>
  <si>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</si>
  <si>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</si>
  <si>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</si>
  <si>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</si>
  <si>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</si>
  <si>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</si>
  <si>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</si>
  <si>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</si>
  <si>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</si>
  <si>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</si>
  <si>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</si>
  <si>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</si>
  <si>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</si>
  <si>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</si>
  <si>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</si>
  <si>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</si>
  <si>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</si>
  <si>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</si>
  <si>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</si>
  <si>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</si>
  <si>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</si>
  <si>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</si>
  <si>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</si>
  <si>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</si>
  <si>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</si>
  <si>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</si>
  <si>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</si>
  <si>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</si>
  <si>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</si>
  <si>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</si>
  <si>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</si>
  <si>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</si>
  <si>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</si>
  <si>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</si>
  <si>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</si>
  <si>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</si>
  <si>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</si>
  <si>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</si>
  <si>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</si>
  <si>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</si>
  <si>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</si>
  <si>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</si>
  <si>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</si>
  <si>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</si>
  <si>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</si>
  <si>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</si>
  <si>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</si>
  <si>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</si>
  <si>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</si>
  <si>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</si>
  <si>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</si>
  <si>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</si>
  <si>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</si>
  <si>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</si>
  <si>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</si>
  <si>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</si>
  <si>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</si>
  <si>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</si>
  <si>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</si>
  <si>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</si>
  <si>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</si>
  <si>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</si>
  <si>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</si>
  <si>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</si>
  <si>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</si>
  <si>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</si>
  <si>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</si>
  <si>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</si>
  <si>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</si>
  <si>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</si>
  <si>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</si>
  <si>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</si>
  <si>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</si>
  <si>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</si>
  <si>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</si>
  <si>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</si>
  <si>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</si>
  <si>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</si>
  <si>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</si>
  <si>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</si>
  <si>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</si>
  <si>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</si>
  <si>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</si>
  <si>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</si>
  <si>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</si>
  <si>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</si>
  <si>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</si>
  <si>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</si>
  <si>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</si>
  <si>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</si>
  <si>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</si>
  <si>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</si>
  <si>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</si>
  <si>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</si>
  <si>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</si>
  <si>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</si>
  <si>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</si>
  <si>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</si>
  <si>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</si>
  <si>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</si>
  <si>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</si>
  <si>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</si>
  <si>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</si>
  <si>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</si>
  <si>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</si>
  <si>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</si>
  <si>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</si>
  <si>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</si>
  <si>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</si>
  <si>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</si>
  <si>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</si>
  <si>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</si>
  <si>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</si>
  <si>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</si>
  <si>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</si>
  <si>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</si>
  <si>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</si>
  <si>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</si>
  <si>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</si>
  <si>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</si>
  <si>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</si>
  <si>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</si>
  <si>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</si>
  <si>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</si>
  <si>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</si>
  <si>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</si>
  <si>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</si>
  <si>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</si>
  <si>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</si>
  <si>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</si>
  <si>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</si>
  <si>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</si>
  <si>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</si>
  <si>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</si>
  <si>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</si>
  <si>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</si>
  <si>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</si>
  <si>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</si>
  <si>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</si>
  <si>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</si>
  <si>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</si>
  <si>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</si>
  <si>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</si>
  <si>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</si>
  <si>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</si>
  <si>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</si>
  <si>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</si>
  <si>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</si>
  <si>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</si>
  <si>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</si>
  <si>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</si>
  <si>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</si>
  <si>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</si>
  <si>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</si>
  <si>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</si>
  <si>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</si>
  <si>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</si>
  <si>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</si>
  <si>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</si>
  <si>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</si>
  <si>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</si>
  <si>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</si>
  <si>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</si>
  <si>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</si>
  <si>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</si>
  <si>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</si>
  <si>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</si>
  <si>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</si>
  <si>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</si>
  <si>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</si>
  <si>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</si>
  <si>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</si>
  <si>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</si>
  <si>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</si>
  <si>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</si>
  <si>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</si>
  <si>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</si>
  <si>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</si>
  <si>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</si>
  <si>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</si>
  <si>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</si>
  <si>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</si>
  <si>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</si>
  <si>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</si>
  <si>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</si>
  <si>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</si>
  <si>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</si>
  <si>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</si>
  <si>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</si>
  <si>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</si>
  <si>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</si>
  <si>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</si>
  <si>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</si>
  <si>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</si>
  <si>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</si>
  <si>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</si>
  <si>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</si>
  <si>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</si>
  <si>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</si>
  <si>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</si>
  <si>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</si>
  <si>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</si>
  <si>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</si>
  <si>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</si>
  <si>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</si>
  <si>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</si>
  <si>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</si>
  <si>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</si>
  <si>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</si>
  <si>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</si>
  <si>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</si>
  <si>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</si>
  <si>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</si>
  <si>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</si>
  <si>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</si>
  <si>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</si>
  <si>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</si>
  <si>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</si>
  <si>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</si>
  <si>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</si>
  <si>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</si>
  <si>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</si>
  <si>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</si>
  <si>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</si>
  <si>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</si>
  <si>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</si>
  <si>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</si>
  <si>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</si>
  <si>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</si>
  <si>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</si>
  <si>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</si>
  <si>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</si>
  <si>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</si>
  <si>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</si>
  <si>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</si>
  <si>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</si>
  <si>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</si>
  <si>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</si>
  <si>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</si>
  <si>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</si>
  <si>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</si>
  <si>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</si>
  <si>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</si>
  <si>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</si>
  <si>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</si>
  <si>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</si>
  <si>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</si>
  <si>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</si>
  <si>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</si>
  <si>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</si>
  <si>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</si>
  <si>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</si>
  <si>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</si>
  <si>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</si>
  <si>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</si>
  <si>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</si>
  <si>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</si>
  <si>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</si>
  <si>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</si>
  <si>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</si>
  <si>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</si>
  <si>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</si>
  <si>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</si>
  <si>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</si>
  <si>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</si>
  <si>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</si>
  <si>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</si>
  <si>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</si>
  <si>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</si>
  <si>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</si>
  <si>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</si>
  <si>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</si>
  <si>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</si>
  <si>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</si>
  <si>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</si>
  <si>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</si>
  <si>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</si>
  <si>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</si>
  <si>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</si>
  <si>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</si>
  <si>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</si>
  <si>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</si>
  <si>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</si>
  <si>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</si>
  <si>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</si>
  <si>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</si>
  <si>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</si>
  <si>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</si>
  <si>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</si>
  <si>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</si>
  <si>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</si>
  <si>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</si>
  <si>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</si>
  <si>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</si>
  <si>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</si>
  <si>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</si>
  <si>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</si>
  <si>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</si>
  <si>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</si>
  <si>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</si>
  <si>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</si>
  <si>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</si>
  <si>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</si>
  <si>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</si>
  <si>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</si>
  <si>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</si>
  <si>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</si>
  <si>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</si>
  <si>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</si>
  <si>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</si>
  <si>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</si>
  <si>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</si>
  <si>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</si>
  <si>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</si>
  <si>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</si>
  <si>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</si>
  <si>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</si>
  <si>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</si>
  <si>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</si>
  <si>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</si>
  <si>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</si>
  <si>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</si>
  <si>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</si>
  <si>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</si>
  <si>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</si>
  <si>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</si>
  <si>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</si>
  <si>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</si>
  <si>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</si>
  <si>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</si>
  <si>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</si>
  <si>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</si>
  <si>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</si>
  <si>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</si>
  <si>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</si>
  <si>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</si>
  <si>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</si>
  <si>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</si>
  <si>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</si>
  <si>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</si>
  <si>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</si>
  <si>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</si>
  <si>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</si>
  <si>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</si>
  <si>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</si>
  <si>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</si>
  <si>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</si>
  <si>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</si>
  <si>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</si>
  <si>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</si>
  <si>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</si>
  <si>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</si>
  <si>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</si>
  <si>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</si>
  <si>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</si>
  <si>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</si>
  <si>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</si>
  <si>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</si>
  <si>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</si>
  <si>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</si>
  <si>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</si>
  <si>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</si>
  <si>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</si>
  <si>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</si>
  <si>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</si>
  <si>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</si>
  <si>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</si>
  <si>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</si>
  <si>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</si>
  <si>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</si>
  <si>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</si>
  <si>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</si>
  <si>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</si>
  <si>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</si>
  <si>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</si>
  <si>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</si>
  <si>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</si>
  <si>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</si>
  <si>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</si>
  <si>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</si>
  <si>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</si>
  <si>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</si>
  <si>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</si>
  <si>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</si>
  <si>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</si>
  <si>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</si>
  <si>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</si>
  <si>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</si>
  <si>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</si>
  <si>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</si>
  <si>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</si>
  <si>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</si>
  <si>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</si>
  <si>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</si>
  <si>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</si>
  <si>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</si>
  <si>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</si>
  <si>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</si>
  <si>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</si>
  <si>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</si>
  <si>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</si>
  <si>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</si>
  <si>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</si>
  <si>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</si>
  <si>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</si>
  <si>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</si>
  <si>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</si>
  <si>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</si>
  <si>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</si>
  <si>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</si>
  <si>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</si>
  <si>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</si>
  <si>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</si>
  <si>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</si>
  <si>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</si>
  <si>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</si>
  <si>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</si>
  <si>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</si>
  <si>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</si>
  <si>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</si>
  <si>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</si>
  <si>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</si>
  <si>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</si>
  <si>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</si>
  <si>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</si>
  <si>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</si>
  <si>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</si>
  <si>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</si>
  <si>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</si>
  <si>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</si>
  <si>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</si>
  <si>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</si>
  <si>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</si>
  <si>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</si>
  <si>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</si>
  <si>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</si>
  <si>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</si>
  <si>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</si>
  <si>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</si>
  <si>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</si>
  <si>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</si>
  <si>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</si>
  <si>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</si>
  <si>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</si>
  <si>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</si>
  <si>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</si>
  <si>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</si>
  <si>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</si>
  <si>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</si>
  <si>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</si>
  <si>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</si>
  <si>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</si>
  <si>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</si>
  <si>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</si>
  <si>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</si>
  <si>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</si>
  <si>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</si>
  <si>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</si>
  <si>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</si>
  <si>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</si>
  <si>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</si>
  <si>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</si>
  <si>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</si>
  <si>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</si>
  <si>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</si>
  <si>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</si>
  <si>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</si>
  <si>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</si>
  <si>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</si>
  <si>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</si>
  <si>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</si>
  <si>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</si>
  <si>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</si>
  <si>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</si>
  <si>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</si>
  <si>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</si>
  <si>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</si>
  <si>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</si>
  <si>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</si>
  <si>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</si>
  <si>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</si>
  <si>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</si>
  <si>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</si>
  <si>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</si>
  <si>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</si>
  <si>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</si>
  <si>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</si>
  <si>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</si>
  <si>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</si>
  <si>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</si>
  <si>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</si>
  <si>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</si>
  <si>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</si>
  <si>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</si>
  <si>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</si>
  <si>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</si>
  <si>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</si>
  <si>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</si>
  <si>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</si>
  <si>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</si>
  <si>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</si>
  <si>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</si>
  <si>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</si>
  <si>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</si>
  <si>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</si>
  <si>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</si>
  <si>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</si>
  <si>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</si>
  <si>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</si>
  <si>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</si>
  <si>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</si>
  <si>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</si>
  <si>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</si>
  <si>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</si>
  <si>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</si>
  <si>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</si>
  <si>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</si>
  <si>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</si>
  <si>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</si>
  <si>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</si>
  <si>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</si>
  <si>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</si>
  <si>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</si>
  <si>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</si>
  <si>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</si>
  <si>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</si>
  <si>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</si>
  <si>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</si>
  <si>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</si>
  <si>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</si>
  <si>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</si>
  <si>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</si>
  <si>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</si>
  <si>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</si>
  <si>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</si>
  <si>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</si>
  <si>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</si>
  <si>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</si>
  <si>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</si>
  <si>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</si>
  <si>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</si>
  <si>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</si>
  <si>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</si>
  <si>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</si>
  <si>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</si>
  <si>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</si>
  <si>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</si>
  <si>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</si>
  <si>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</si>
  <si>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</si>
  <si>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</si>
  <si>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</si>
  <si>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</si>
  <si>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</si>
  <si>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</si>
  <si>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</si>
  <si>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</si>
  <si>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</si>
  <si>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</si>
  <si>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</si>
  <si>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</si>
  <si>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</si>
  <si>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</si>
  <si>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</si>
  <si>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</si>
  <si>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</si>
  <si>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</si>
  <si>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</si>
  <si>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</si>
  <si>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</si>
  <si>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</si>
  <si>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</si>
  <si>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</si>
  <si>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</si>
  <si>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</si>
  <si>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</si>
  <si>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</si>
  <si>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</si>
  <si>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</si>
  <si>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</si>
  <si>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</si>
  <si>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</si>
  <si>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</si>
  <si>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</si>
  <si>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</si>
  <si>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</si>
  <si>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</si>
  <si>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</si>
  <si>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</si>
  <si>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</si>
  <si>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</si>
  <si>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</si>
  <si>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</si>
  <si>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</si>
  <si>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</si>
  <si>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</si>
  <si>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</si>
  <si>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</si>
  <si>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</si>
  <si>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</si>
  <si>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</si>
  <si>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</si>
  <si>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</si>
  <si>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</si>
  <si>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</si>
  <si>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</si>
  <si>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</si>
  <si>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</si>
  <si>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</si>
  <si>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</si>
  <si>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</si>
  <si>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</si>
  <si>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</si>
  <si>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</si>
  <si>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</si>
  <si>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</si>
  <si>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</si>
  <si>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</si>
  <si>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</si>
  <si>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</si>
  <si>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</si>
  <si>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</si>
  <si>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</si>
  <si>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</si>
  <si>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</si>
  <si>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</si>
  <si>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</si>
  <si>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</si>
  <si>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</si>
  <si>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</si>
  <si>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</si>
  <si>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</si>
  <si>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</si>
  <si>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</si>
  <si>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</si>
  <si>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</si>
  <si>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</si>
  <si>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</si>
  <si>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</si>
  <si>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</si>
  <si>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</si>
  <si>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</si>
  <si>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</si>
  <si>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</si>
  <si>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</si>
  <si>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</si>
  <si>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</si>
  <si>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</si>
  <si>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</si>
  <si>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</si>
  <si>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</si>
  <si>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</si>
  <si>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</si>
  <si>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</si>
  <si>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</si>
  <si>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</si>
  <si>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</si>
  <si>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</si>
  <si>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</si>
  <si>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</si>
  <si>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</si>
  <si>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</si>
  <si>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</si>
  <si>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</si>
  <si>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</si>
  <si>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</si>
  <si>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</si>
  <si>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</si>
  <si>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</si>
  <si>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</si>
  <si>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</si>
  <si>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</si>
  <si>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</si>
  <si>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</si>
  <si>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</si>
  <si>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</si>
  <si>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</si>
  <si>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</si>
  <si>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</si>
  <si>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</si>
  <si>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</si>
  <si>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</si>
  <si>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</si>
  <si>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</si>
  <si>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</si>
  <si>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</si>
  <si>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</si>
  <si>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</si>
  <si>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</si>
  <si>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</si>
  <si>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</si>
  <si>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</si>
  <si>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</si>
  <si>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</si>
  <si>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</si>
  <si>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</si>
  <si>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</si>
  <si>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</si>
  <si>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</si>
  <si>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</si>
  <si>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</si>
  <si>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</si>
  <si>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</si>
  <si>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</si>
  <si>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</si>
  <si>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</si>
  <si>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</si>
  <si>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</si>
  <si>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</si>
  <si>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</si>
  <si>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</si>
  <si>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</si>
  <si>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</si>
  <si>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</si>
  <si>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</si>
  <si>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</si>
  <si>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</si>
  <si>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</si>
  <si>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</si>
  <si>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</si>
  <si>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</si>
  <si>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</si>
  <si>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</si>
  <si>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</si>
  <si>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</si>
  <si>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</si>
  <si>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</si>
  <si>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</si>
  <si>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</si>
  <si>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</si>
  <si>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</si>
  <si>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</si>
  <si>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</si>
  <si>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</si>
  <si>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</si>
  <si>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</si>
  <si>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</si>
  <si>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</si>
  <si>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</si>
  <si>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</si>
  <si>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</si>
  <si>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</si>
  <si>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</si>
  <si>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</si>
  <si>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</si>
  <si>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</si>
  <si>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</si>
  <si>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</si>
  <si>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</si>
  <si>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</si>
  <si>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</si>
  <si>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</si>
  <si>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</si>
  <si>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</si>
  <si>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</si>
  <si>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</si>
  <si>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</si>
  <si>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</si>
  <si>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</si>
  <si>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</si>
  <si>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</si>
  <si>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</si>
  <si>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</si>
  <si>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</si>
  <si>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</si>
  <si>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</si>
  <si>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</si>
  <si>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</si>
  <si>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</si>
  <si>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</si>
  <si>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</si>
  <si>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</si>
  <si>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</si>
  <si>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</si>
  <si>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</si>
  <si>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</si>
  <si>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</si>
  <si>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</si>
  <si>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</si>
  <si>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</si>
  <si>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</si>
  <si>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</si>
  <si>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</si>
  <si>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</si>
  <si>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</si>
  <si>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</si>
  <si>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</si>
  <si>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</si>
  <si>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</si>
  <si>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</si>
  <si>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</si>
  <si>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</si>
  <si>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</si>
  <si>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</si>
  <si>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</si>
  <si>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</si>
  <si>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</si>
  <si>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</si>
  <si>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</si>
  <si>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</si>
  <si>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</si>
  <si>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</si>
  <si>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</si>
  <si>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</si>
  <si>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</si>
  <si>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</si>
  <si>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</si>
  <si>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</si>
  <si>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</si>
  <si>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</si>
  <si>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</si>
  <si>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</si>
  <si>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</si>
  <si>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</si>
  <si>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</si>
  <si>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</si>
  <si>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</si>
  <si>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</si>
  <si>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</si>
  <si>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</si>
  <si>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</si>
  <si>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</si>
  <si>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</si>
  <si>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</si>
  <si>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</si>
  <si>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</si>
  <si>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</si>
  <si>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</si>
  <si>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</si>
  <si>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</si>
  <si>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</si>
  <si>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</si>
  <si>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</si>
  <si>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</si>
  <si>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</si>
  <si>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</si>
  <si>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</si>
  <si>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</si>
  <si>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</si>
  <si>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</si>
  <si>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</si>
  <si>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</si>
  <si>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</si>
  <si>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</si>
  <si>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</si>
  <si>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</si>
  <si>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</si>
  <si>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</si>
  <si>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</si>
  <si>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</si>
  <si>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</si>
  <si>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</si>
  <si>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</si>
  <si>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</si>
  <si>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</si>
  <si>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</si>
  <si>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</si>
  <si>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</si>
  <si>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</si>
  <si>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</si>
  <si>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</si>
  <si>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</si>
  <si>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</si>
  <si>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</si>
  <si>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</si>
  <si>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</si>
  <si>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</si>
  <si>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</si>
  <si>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</si>
  <si>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</si>
  <si>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</si>
  <si>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</si>
  <si>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</si>
  <si>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</si>
  <si>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</si>
  <si>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</si>
  <si>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</si>
  <si>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</si>
  <si>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</si>
  <si>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</si>
  <si>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</si>
  <si>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</si>
  <si>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</si>
  <si>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</si>
  <si>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</si>
  <si>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</si>
  <si>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</si>
  <si>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</si>
  <si>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</si>
  <si>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</si>
  <si>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</si>
  <si>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</si>
  <si>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</si>
  <si>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</si>
  <si>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</si>
  <si>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</si>
  <si>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</si>
  <si>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</si>
  <si>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</si>
  <si>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</si>
  <si>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</si>
  <si>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</si>
  <si>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</si>
  <si>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</si>
  <si>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</si>
  <si>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</si>
  <si>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</si>
  <si>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</si>
  <si>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</si>
  <si>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</si>
  <si>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</si>
  <si>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</si>
  <si>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</si>
  <si>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</si>
  <si>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</si>
  <si>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</si>
  <si>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</si>
  <si>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</si>
  <si>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</si>
  <si>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</si>
  <si>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</si>
  <si>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</si>
  <si>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</si>
  <si>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</si>
  <si>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</si>
  <si>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</si>
  <si>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</si>
  <si>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</si>
  <si>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</si>
  <si>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</si>
  <si>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</si>
  <si>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</si>
  <si>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</si>
  <si>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</si>
  <si>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</si>
  <si>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</si>
  <si>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</si>
  <si>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</si>
  <si>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</si>
  <si>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</si>
  <si>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</si>
  <si>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</si>
  <si>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</si>
  <si>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</si>
  <si>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</si>
  <si>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</si>
  <si>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</si>
  <si>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</si>
  <si>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</si>
  <si>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</si>
  <si>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</si>
  <si>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</si>
  <si>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</si>
  <si>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</si>
  <si>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</si>
  <si>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</si>
  <si>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</si>
  <si>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</si>
  <si>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</si>
  <si>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</si>
  <si>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</si>
  <si>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</si>
  <si>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</si>
  <si>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</si>
  <si>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</si>
  <si>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</si>
  <si>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</si>
  <si>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</si>
  <si>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</si>
  <si>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</si>
  <si>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</si>
  <si>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</si>
  <si>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</si>
  <si>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</si>
  <si>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</si>
  <si>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</si>
  <si>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</si>
  <si>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</si>
  <si>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</si>
  <si>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</si>
  <si>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</si>
  <si>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</si>
  <si>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</si>
  <si>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</si>
  <si>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</si>
  <si>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</si>
  <si>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</si>
  <si>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</si>
  <si>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</si>
  <si>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</si>
  <si>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</si>
  <si>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</si>
  <si>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</si>
  <si>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</si>
  <si>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</si>
  <si>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</si>
  <si>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</si>
  <si>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</si>
  <si>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</si>
  <si>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</si>
  <si>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</si>
  <si>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</si>
  <si>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</si>
  <si>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</si>
  <si>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</si>
  <si>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</si>
  <si>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</si>
  <si>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</si>
  <si>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</si>
  <si>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</si>
  <si>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</si>
  <si>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</si>
  <si>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</si>
  <si>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</si>
  <si>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</si>
  <si>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</si>
  <si>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</si>
  <si>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</si>
  <si>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</si>
  <si>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</si>
  <si>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</si>
  <si>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</si>
  <si>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</si>
  <si>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</si>
  <si>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</si>
  <si>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</si>
  <si>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</si>
  <si>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</si>
  <si>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</si>
  <si>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</si>
  <si>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</si>
  <si>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</si>
  <si>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</si>
  <si>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</si>
  <si>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</si>
  <si>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</si>
  <si>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</si>
  <si>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</si>
  <si>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</si>
  <si>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</si>
  <si>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</si>
  <si>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</si>
  <si>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</si>
  <si>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</si>
  <si>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</si>
  <si>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</si>
  <si>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</si>
  <si>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</si>
  <si>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</si>
  <si>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</si>
  <si>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</si>
  <si>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</si>
  <si>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</si>
  <si>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</si>
  <si>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</si>
  <si>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</si>
  <si>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</si>
  <si>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</si>
  <si>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</si>
  <si>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</si>
  <si>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</si>
  <si>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</si>
  <si>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</si>
  <si>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</si>
  <si>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</si>
  <si>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</si>
  <si>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</si>
  <si>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</si>
  <si>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</si>
  <si>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</si>
  <si>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</si>
  <si>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</si>
  <si>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</si>
  <si>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</si>
  <si>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</si>
  <si>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</si>
  <si>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</si>
  <si>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</si>
  <si>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</si>
  <si>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</si>
  <si>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</si>
  <si>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</si>
  <si>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</si>
  <si>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</si>
  <si>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</si>
  <si>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</si>
  <si>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</si>
  <si>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</si>
  <si>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</si>
  <si>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</si>
  <si>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</si>
  <si>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</si>
  <si>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</si>
  <si>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</si>
  <si>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</si>
  <si>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</si>
  <si>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</si>
  <si>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</si>
  <si>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</si>
  <si>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</si>
  <si>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</si>
  <si>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</si>
  <si>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</si>
  <si>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</si>
  <si>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</si>
  <si>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</si>
  <si>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</si>
  <si>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</si>
  <si>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</si>
  <si>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</si>
  <si>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</si>
  <si>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</si>
  <si>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</si>
  <si>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</si>
  <si>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</si>
  <si>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</si>
  <si>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</si>
  <si>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</si>
  <si>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</si>
  <si>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</si>
  <si>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</si>
  <si>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</si>
  <si>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</si>
  <si>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</si>
  <si>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</si>
  <si>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</si>
  <si>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</si>
  <si>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</si>
  <si>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</si>
  <si>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</si>
  <si>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</si>
  <si>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</si>
  <si>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</si>
  <si>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</si>
  <si>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</si>
  <si>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</si>
  <si>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</si>
  <si>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</si>
  <si>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</si>
  <si>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</si>
  <si>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</si>
  <si>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</si>
  <si>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</si>
  <si>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</si>
  <si>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</si>
  <si>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</si>
  <si>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</si>
  <si>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</si>
  <si>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</si>
  <si>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</si>
  <si>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</si>
  <si>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</si>
  <si>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</si>
  <si>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</si>
  <si>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</si>
  <si>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</si>
  <si>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</si>
  <si>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</si>
  <si>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</si>
  <si>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</si>
  <si>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</si>
  <si>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</si>
  <si>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</si>
  <si>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</si>
  <si>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</si>
  <si>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</si>
  <si>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</si>
  <si>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</si>
  <si>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</si>
  <si>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</si>
  <si>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</si>
  <si>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</si>
  <si>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</si>
  <si>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</si>
  <si>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</si>
  <si>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</si>
  <si>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</si>
  <si>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</si>
  <si>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</si>
  <si>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</si>
  <si>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</si>
  <si>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</si>
  <si>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</si>
  <si>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</si>
  <si>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</si>
  <si>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</si>
  <si>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</si>
  <si>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</si>
  <si>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</si>
  <si>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</si>
  <si>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</si>
  <si>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</si>
  <si>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</si>
  <si>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</si>
  <si>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</si>
  <si>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</si>
  <si>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</si>
  <si>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</si>
  <si>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</si>
  <si>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</si>
  <si>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</si>
  <si>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</si>
  <si>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</si>
  <si>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</si>
  <si>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</si>
  <si>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</si>
  <si>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</si>
  <si>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</si>
  <si>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</si>
  <si>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</si>
  <si>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</si>
  <si>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</si>
  <si>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</si>
  <si>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</si>
  <si>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</si>
  <si>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</si>
  <si>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</si>
  <si>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</si>
  <si>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</si>
  <si>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</si>
  <si>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</si>
  <si>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</si>
  <si>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</si>
  <si>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</si>
  <si>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</si>
  <si>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</si>
  <si>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</si>
  <si>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</si>
  <si>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</si>
  <si>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</si>
  <si>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</si>
  <si>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</si>
  <si>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</si>
  <si>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</si>
  <si>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</si>
  <si>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</si>
  <si>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</si>
  <si>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</si>
  <si>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</si>
  <si>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</si>
  <si>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</si>
  <si>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</si>
  <si>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</si>
  <si>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</si>
  <si>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</si>
  <si>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</si>
  <si>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</si>
  <si>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</si>
  <si>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</si>
  <si>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</si>
  <si>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</si>
  <si>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</si>
  <si>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</si>
  <si>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</si>
  <si>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</si>
  <si>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</si>
  <si>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</si>
  <si>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</si>
  <si>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</si>
  <si>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</si>
  <si>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</si>
  <si>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</si>
  <si>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</si>
  <si>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</si>
  <si>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</si>
  <si>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</si>
  <si>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</si>
  <si>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</si>
  <si>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</si>
  <si>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</si>
  <si>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</si>
  <si>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</si>
  <si>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</si>
  <si>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</si>
  <si>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</si>
  <si>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</si>
  <si>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</si>
  <si>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</si>
  <si>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</si>
  <si>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</si>
  <si>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</si>
  <si>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</si>
  <si>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</si>
  <si>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</si>
  <si>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</si>
  <si>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</si>
  <si>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</si>
  <si>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</si>
  <si>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</si>
  <si>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</si>
  <si>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</si>
  <si>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</si>
  <si>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</si>
  <si>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</si>
  <si>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</si>
  <si>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</si>
  <si>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</si>
  <si>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</si>
  <si>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</si>
  <si>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</si>
  <si>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</si>
  <si>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</si>
  <si>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</si>
  <si>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</si>
  <si>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</si>
  <si>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</si>
  <si>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</si>
  <si>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</si>
  <si>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</si>
  <si>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</si>
  <si>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</si>
  <si>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</si>
  <si>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</si>
  <si>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</si>
  <si>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</si>
  <si>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</si>
  <si>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</si>
  <si>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</si>
  <si>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</si>
  <si>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</si>
  <si>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</si>
  <si>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</si>
  <si>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</si>
  <si>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</si>
  <si>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</si>
  <si>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</si>
  <si>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</si>
  <si>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</si>
  <si>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</si>
  <si>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</si>
  <si>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</si>
  <si>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</si>
  <si>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</si>
  <si>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</si>
  <si>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</si>
  <si>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</si>
  <si>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</si>
  <si>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</si>
  <si>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</si>
  <si>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</si>
  <si>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</si>
  <si>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</si>
  <si>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</si>
  <si>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</si>
  <si>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</si>
  <si>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</si>
  <si>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</si>
  <si>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</si>
  <si>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</si>
  <si>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</si>
  <si>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</si>
  <si>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</si>
  <si>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</si>
  <si>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</si>
  <si>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</si>
  <si>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</si>
  <si>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</si>
  <si>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</si>
  <si>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</si>
  <si>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</si>
  <si>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</si>
  <si>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</si>
  <si>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</si>
  <si>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</si>
  <si>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</si>
  <si>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</si>
  <si>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</si>
  <si>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</si>
  <si>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</si>
  <si>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</si>
  <si>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</si>
  <si>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</si>
  <si>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</si>
  <si>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</si>
  <si>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</si>
  <si>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</si>
  <si>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</si>
  <si>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</si>
  <si>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</si>
  <si>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</si>
  <si>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</si>
  <si>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</si>
  <si>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</si>
  <si>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</si>
  <si>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</si>
  <si>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</si>
  <si>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</si>
  <si>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</si>
  <si>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</si>
  <si>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</si>
  <si>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</si>
  <si>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</si>
  <si>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</si>
  <si>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</si>
  <si>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</si>
  <si>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</si>
  <si>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</si>
  <si>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</si>
  <si>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</si>
  <si>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</si>
  <si>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</si>
  <si>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</si>
  <si>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</si>
  <si>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</si>
  <si>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</si>
  <si>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</si>
  <si>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</si>
  <si>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</si>
  <si>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</si>
  <si>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</si>
  <si>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</si>
  <si>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</si>
  <si>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</si>
  <si>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</si>
  <si>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</si>
  <si>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</si>
  <si>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</si>
  <si>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</si>
  <si>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</si>
  <si>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</si>
  <si>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</si>
  <si>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</si>
  <si>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</si>
  <si>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</si>
  <si>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</si>
  <si>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</si>
  <si>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</si>
  <si>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</si>
  <si>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</si>
  <si>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</si>
  <si>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</si>
  <si>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</si>
  <si>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</si>
  <si>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</si>
  <si>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</si>
  <si>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</si>
  <si>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</si>
  <si>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</si>
  <si>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</si>
  <si>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</si>
  <si>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</si>
  <si>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</si>
  <si>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</si>
  <si>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</si>
  <si>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</si>
  <si>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</si>
  <si>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</si>
  <si>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</si>
  <si>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</si>
  <si>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</si>
  <si>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</si>
  <si>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</si>
  <si>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</si>
  <si>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</si>
  <si>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</si>
  <si>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</si>
  <si>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</si>
  <si>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</si>
  <si>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</si>
  <si>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</si>
  <si>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</si>
  <si>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</si>
  <si>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</si>
  <si>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</si>
  <si>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</si>
  <si>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</si>
  <si>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</si>
  <si>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</si>
  <si>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</si>
  <si>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</si>
  <si>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</si>
  <si>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</si>
  <si>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</si>
  <si>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</si>
  <si>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</si>
  <si>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</si>
  <si>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</si>
  <si>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</si>
  <si>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</si>
  <si>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</si>
  <si>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</si>
  <si>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</si>
  <si>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</si>
  <si>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</si>
  <si>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</si>
  <si>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</si>
  <si>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</si>
  <si>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</si>
  <si>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</si>
  <si>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</si>
  <si>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</si>
  <si>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</si>
  <si>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</si>
  <si>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</si>
  <si>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</si>
  <si>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</si>
  <si>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</si>
  <si>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</si>
  <si>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</si>
  <si>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</si>
  <si>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</si>
  <si>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</si>
  <si>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</si>
  <si>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</si>
  <si>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</si>
  <si>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</si>
  <si>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</si>
  <si>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</si>
  <si>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</si>
  <si>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</si>
  <si>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</si>
  <si>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</si>
  <si>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</si>
  <si>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</si>
  <si>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</si>
  <si>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</si>
  <si>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</si>
  <si>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</si>
  <si>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</si>
  <si>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</si>
  <si>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</si>
  <si>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</si>
  <si>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</si>
  <si>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</si>
  <si>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</si>
  <si>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</si>
  <si>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</si>
  <si>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</si>
  <si>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</si>
  <si>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</si>
  <si>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</si>
  <si>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</si>
  <si>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</si>
  <si>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</si>
  <si>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</si>
  <si>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</si>
  <si>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</si>
  <si>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</si>
  <si>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</si>
  <si>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</si>
  <si>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</si>
  <si>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</si>
  <si>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</si>
  <si>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</si>
  <si>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</si>
  <si>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</si>
  <si>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</si>
  <si>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</si>
  <si>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</si>
  <si>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</si>
  <si>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</si>
  <si>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</si>
  <si>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</si>
  <si>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</si>
  <si>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</si>
  <si>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</si>
  <si>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</si>
  <si>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</si>
  <si>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</si>
  <si>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</si>
  <si>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</si>
  <si>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</si>
  <si>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</si>
  <si>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</si>
  <si>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</si>
  <si>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</si>
  <si>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</si>
  <si>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</si>
  <si>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</si>
  <si>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</si>
  <si>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</si>
  <si>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</si>
  <si>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</si>
  <si>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</si>
  <si>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</si>
  <si>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</si>
  <si>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</si>
  <si>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</si>
  <si>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</si>
  <si>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</si>
  <si>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</si>
  <si>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</si>
  <si>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</si>
  <si>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</si>
  <si>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</si>
  <si>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</si>
  <si>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</si>
  <si>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</si>
  <si>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</si>
  <si>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</si>
  <si>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</si>
  <si>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</si>
  <si>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</si>
  <si>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</si>
  <si>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</si>
  <si>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</si>
  <si>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</si>
  <si>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</si>
  <si>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</si>
  <si>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</si>
  <si>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</si>
  <si>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</si>
  <si>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</si>
  <si>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</si>
  <si>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</si>
  <si>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</si>
  <si>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</si>
  <si>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</si>
  <si>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</si>
  <si>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</si>
  <si>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</si>
  <si>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</si>
  <si>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</si>
  <si>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</si>
  <si>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</si>
  <si>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</si>
  <si>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</si>
  <si>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</si>
  <si>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</si>
  <si>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</si>
  <si>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</si>
  <si>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</si>
  <si>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</si>
  <si>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</si>
  <si>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</si>
  <si>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</si>
  <si>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</si>
  <si>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</si>
  <si>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</si>
  <si>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</si>
  <si>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</si>
  <si>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</si>
  <si>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</si>
  <si>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</si>
  <si>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</si>
  <si>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</si>
  <si>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</si>
  <si>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</si>
  <si>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</si>
  <si>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</si>
  <si>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</si>
  <si>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</si>
  <si>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</si>
  <si>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</si>
  <si>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</si>
  <si>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</si>
  <si>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</si>
  <si>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</si>
  <si>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</si>
  <si>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</si>
  <si>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</si>
  <si>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</si>
  <si>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</si>
  <si>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</si>
  <si>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</si>
  <si>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</si>
  <si>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</si>
  <si>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</si>
  <si>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</si>
  <si>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</si>
  <si>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</si>
  <si>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</si>
  <si>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</si>
  <si>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</si>
  <si>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</si>
  <si>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</si>
  <si>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</si>
  <si>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</si>
  <si>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</si>
  <si>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</si>
  <si>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</si>
  <si>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</si>
  <si>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</si>
  <si>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</si>
  <si>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</si>
  <si>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</si>
  <si>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</si>
  <si>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</si>
  <si>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</si>
  <si>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</si>
  <si>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</si>
  <si>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</si>
  <si>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</si>
  <si>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</si>
  <si>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</si>
  <si>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</si>
  <si>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</si>
  <si>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</si>
  <si>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</si>
  <si>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</si>
  <si>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</si>
  <si>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</si>
  <si>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</si>
  <si>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</si>
  <si>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</si>
  <si>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</si>
  <si>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</si>
  <si>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</si>
  <si>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</si>
  <si>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</si>
  <si>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</si>
  <si>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</si>
  <si>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</si>
  <si>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</si>
  <si>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</si>
  <si>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</si>
  <si>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</si>
  <si>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</si>
  <si>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</si>
  <si>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</si>
  <si>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</si>
  <si>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</si>
  <si>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</si>
  <si>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</si>
  <si>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</si>
  <si>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</si>
  <si>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</si>
  <si>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</si>
  <si>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</si>
  <si>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</si>
  <si>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</si>
  <si>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</si>
  <si>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</si>
  <si>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</si>
  <si>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</si>
  <si>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</si>
  <si>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</si>
  <si>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</si>
  <si>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</si>
  <si>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</si>
  <si>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</si>
  <si>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</si>
  <si>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</si>
  <si>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</si>
  <si>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</si>
  <si>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</si>
  <si>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</si>
  <si>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</si>
  <si>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</si>
  <si>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</si>
  <si>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</si>
  <si>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</si>
  <si>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</si>
  <si>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</si>
  <si>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</si>
  <si>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</si>
  <si>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</si>
  <si>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</si>
  <si>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</si>
  <si>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</si>
  <si>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</si>
  <si>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</si>
  <si>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</si>
  <si>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</si>
  <si>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</si>
  <si>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</si>
  <si>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</si>
  <si>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</si>
  <si>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</si>
  <si>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</si>
  <si>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</si>
  <si>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</si>
  <si>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</si>
  <si>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</si>
  <si>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</si>
  <si>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</si>
  <si>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</si>
  <si>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</si>
  <si>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</si>
  <si>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</si>
  <si>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</si>
  <si>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</si>
  <si>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</si>
  <si>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</si>
  <si>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</si>
  <si>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</si>
  <si>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</si>
  <si>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</si>
  <si>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</si>
  <si>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</si>
  <si>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</si>
  <si>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</si>
  <si>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</si>
  <si>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</si>
  <si>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</si>
  <si>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</si>
  <si>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</si>
  <si>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</si>
  <si>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</si>
  <si>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</si>
  <si>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</si>
  <si>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</si>
  <si>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</si>
  <si>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</si>
  <si>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</si>
  <si>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</si>
  <si>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</si>
  <si>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</si>
  <si>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</si>
  <si>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</si>
  <si>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</si>
  <si>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</si>
  <si>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</si>
  <si>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</si>
  <si>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</si>
  <si>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</si>
  <si>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</si>
  <si>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</si>
  <si>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</si>
  <si>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</si>
  <si>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</si>
  <si>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</si>
  <si>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</si>
  <si>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</si>
  <si>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</si>
  <si>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</si>
  <si>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</si>
  <si>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</si>
  <si>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</si>
  <si>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</si>
  <si>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</si>
  <si>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</si>
  <si>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</si>
  <si>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</si>
  <si>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</si>
  <si>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</si>
  <si>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</si>
  <si>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</si>
  <si>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</si>
  <si>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</si>
  <si>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</si>
  <si>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</si>
  <si>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</si>
  <si>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</si>
  <si>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</si>
  <si>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</si>
  <si>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</si>
  <si>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</si>
  <si>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</si>
  <si>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</si>
  <si>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</si>
  <si>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</si>
  <si>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</si>
  <si>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</si>
  <si>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</si>
  <si>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</si>
  <si>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</si>
  <si>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</si>
  <si>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</si>
  <si>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</si>
  <si>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</si>
  <si>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</si>
  <si>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</si>
  <si>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</si>
  <si>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</si>
  <si>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</si>
  <si>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</si>
  <si>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</si>
  <si>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</si>
  <si>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</si>
  <si>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</si>
  <si>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</si>
  <si>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</si>
  <si>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</si>
  <si>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</si>
  <si>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</si>
  <si>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</si>
  <si>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</si>
  <si>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</si>
  <si>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</si>
  <si>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</si>
  <si>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</si>
  <si>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</si>
  <si>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</si>
  <si>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</si>
  <si>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</si>
  <si>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</si>
  <si>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</si>
  <si>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</si>
  <si>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</si>
  <si>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</si>
  <si>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</si>
  <si>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</si>
  <si>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</si>
  <si>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</si>
  <si>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</si>
  <si>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</si>
  <si>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</si>
  <si>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</si>
  <si>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</si>
  <si>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</si>
  <si>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</si>
  <si>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</si>
  <si>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</si>
  <si>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</si>
  <si>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</si>
  <si>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</si>
  <si>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</si>
  <si>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</si>
  <si>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</si>
  <si>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</si>
  <si>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</si>
  <si>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</si>
  <si>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</si>
  <si>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</si>
  <si>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</si>
  <si>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</si>
  <si>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</si>
  <si>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</si>
  <si>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</si>
  <si>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</si>
  <si>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</si>
  <si>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</si>
  <si>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</si>
  <si>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</si>
  <si>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</si>
  <si>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</si>
  <si>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</si>
  <si>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</si>
  <si>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</si>
  <si>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</si>
  <si>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</si>
  <si>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</si>
  <si>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</si>
  <si>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</si>
  <si>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</si>
  <si>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</si>
  <si>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</si>
  <si>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</si>
  <si>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</si>
  <si>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</si>
  <si>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</si>
  <si>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</si>
  <si>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</si>
  <si>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</si>
  <si>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</si>
  <si>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</si>
  <si>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</si>
  <si>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</si>
  <si>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</si>
  <si>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</si>
  <si>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</si>
  <si>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</si>
  <si>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</si>
  <si>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</si>
  <si>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</si>
  <si>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</si>
  <si>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</si>
  <si>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</si>
  <si>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</si>
  <si>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</si>
  <si>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</si>
  <si>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</si>
  <si>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</si>
  <si>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</si>
  <si>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</si>
  <si>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</si>
  <si>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</si>
  <si>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</si>
  <si>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</si>
  <si>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</si>
  <si>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</si>
  <si>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</si>
  <si>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</si>
  <si>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</si>
  <si>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</si>
  <si>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</si>
  <si>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</si>
  <si>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</si>
  <si>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</si>
  <si>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</si>
  <si>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</si>
  <si>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</si>
  <si>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</si>
  <si>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</si>
  <si>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</si>
  <si>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</si>
  <si>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</si>
  <si>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</si>
  <si>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</si>
  <si>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</si>
  <si>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</si>
  <si>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</si>
  <si>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</si>
  <si>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</si>
  <si>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</si>
  <si>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</si>
  <si>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</si>
  <si>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</si>
  <si>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</si>
  <si>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</si>
  <si>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</si>
  <si>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</si>
  <si>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</si>
  <si>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</si>
  <si>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</si>
  <si>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</si>
  <si>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</si>
  <si>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</si>
  <si>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</si>
  <si>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</si>
  <si>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</si>
  <si>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</si>
  <si>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</si>
  <si>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</si>
  <si>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</si>
  <si>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</si>
  <si>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</si>
  <si>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</si>
  <si>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</si>
  <si>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</si>
  <si>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</si>
  <si>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</si>
  <si>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</si>
  <si>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</si>
  <si>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</si>
  <si>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</si>
  <si>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</si>
  <si>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</si>
  <si>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</si>
  <si>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</si>
  <si>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</si>
  <si>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</si>
  <si>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</si>
  <si>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</si>
  <si>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</si>
  <si>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</si>
  <si>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</si>
  <si>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</si>
  <si>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</si>
  <si>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</si>
  <si>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</si>
  <si>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</si>
  <si>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</si>
  <si>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</si>
  <si>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</si>
  <si>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</si>
  <si>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</si>
  <si>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</si>
  <si>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</si>
  <si>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</si>
  <si>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</si>
  <si>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</si>
  <si>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</si>
  <si>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</si>
  <si>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</si>
  <si>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</si>
  <si>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</si>
  <si>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</si>
  <si>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</si>
  <si>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</si>
  <si>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</si>
  <si>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</si>
  <si>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</si>
  <si>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</si>
  <si>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</si>
  <si>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</si>
  <si>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</si>
  <si>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</si>
  <si>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</si>
  <si>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</si>
  <si>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</si>
  <si>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</si>
  <si>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</si>
  <si>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</si>
  <si>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</si>
  <si>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</si>
  <si>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</si>
  <si>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</si>
  <si>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</si>
  <si>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</si>
  <si>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</si>
  <si>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</si>
  <si>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</si>
  <si>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</si>
  <si>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</si>
  <si>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</si>
  <si>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</si>
  <si>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</si>
  <si>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</si>
  <si>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</si>
  <si>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</si>
  <si>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</si>
  <si>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</si>
  <si>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</si>
  <si>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</si>
  <si>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</si>
  <si>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</si>
  <si>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</si>
  <si>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</si>
  <si>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</si>
  <si>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</si>
  <si>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</si>
  <si>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</si>
  <si>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</si>
  <si>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</si>
  <si>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</si>
  <si>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</si>
  <si>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</si>
  <si>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</si>
  <si>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</si>
  <si>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</si>
  <si>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</si>
  <si>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</si>
  <si>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</si>
  <si>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</si>
  <si>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</si>
  <si>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</si>
  <si>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</si>
  <si>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</si>
  <si>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</si>
  <si>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</si>
  <si>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</si>
  <si>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</si>
  <si>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</si>
  <si>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</si>
  <si>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</si>
  <si>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</si>
  <si>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</si>
  <si>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</si>
  <si>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</si>
  <si>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</si>
  <si>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</si>
  <si>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</si>
  <si>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</si>
  <si>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</si>
  <si>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</si>
  <si>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</si>
  <si>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</si>
  <si>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</si>
  <si>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</si>
  <si>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</si>
  <si>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</si>
  <si>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</si>
  <si>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</si>
  <si>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</si>
  <si>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</si>
  <si>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</si>
  <si>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</si>
  <si>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</si>
  <si>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</si>
  <si>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</si>
  <si>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</si>
  <si>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</si>
  <si>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</si>
  <si>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</si>
  <si>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</si>
  <si>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</si>
  <si>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</si>
  <si>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</si>
  <si>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</si>
  <si>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</si>
  <si>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</si>
  <si>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</si>
  <si>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</si>
  <si>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</si>
  <si>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</si>
  <si>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</si>
  <si>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</si>
  <si>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</si>
  <si>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</si>
  <si>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</si>
  <si>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</si>
  <si>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</si>
  <si>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</si>
  <si>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</si>
  <si>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</si>
  <si>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</si>
  <si>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</si>
  <si>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</si>
  <si>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</si>
  <si>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</si>
  <si>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</si>
  <si>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</si>
  <si>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</si>
  <si>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</si>
  <si>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</si>
  <si>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</si>
  <si>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</si>
  <si>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</si>
  <si>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</si>
  <si>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</si>
  <si>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</si>
  <si>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</si>
  <si>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</si>
  <si>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</si>
  <si>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</si>
  <si>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</si>
  <si>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</si>
  <si>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</si>
  <si>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</si>
  <si>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</si>
  <si>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</si>
  <si>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</si>
  <si>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</si>
  <si>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</si>
  <si>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</si>
  <si>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</si>
  <si>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</si>
  <si>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</si>
  <si>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</si>
  <si>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</si>
  <si>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</si>
  <si>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</si>
  <si>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</si>
  <si>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</si>
  <si>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</si>
  <si>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</si>
  <si>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</si>
  <si>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</si>
  <si>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</si>
  <si>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</si>
  <si>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</si>
  <si>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</si>
  <si>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</si>
  <si>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</si>
  <si>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</si>
  <si>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</si>
  <si>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</si>
  <si>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</si>
  <si>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</si>
  <si>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</si>
  <si>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</si>
  <si>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</si>
  <si>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</si>
  <si>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</si>
  <si>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</si>
  <si>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</si>
  <si>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</si>
  <si>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</si>
  <si>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</si>
  <si>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</si>
  <si>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</si>
  <si>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</si>
  <si>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</si>
  <si>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</si>
  <si>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</si>
  <si>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</si>
  <si>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</si>
  <si>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</si>
  <si>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</si>
  <si>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</si>
  <si>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</si>
  <si>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</si>
  <si>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</si>
  <si>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</si>
  <si>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</si>
  <si>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</si>
  <si>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</si>
  <si>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</si>
  <si>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</si>
  <si>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</si>
  <si>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</si>
  <si>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</si>
  <si>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</si>
  <si>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</si>
  <si>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</si>
  <si>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</si>
  <si>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</si>
  <si>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</si>
  <si>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</si>
  <si>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</si>
  <si>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</si>
  <si>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</si>
  <si>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</si>
  <si>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</si>
  <si>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</si>
  <si>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</si>
  <si>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</si>
  <si>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</si>
  <si>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</si>
  <si>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</si>
  <si>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</si>
  <si>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</si>
  <si>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</si>
  <si>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</si>
  <si>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</si>
  <si>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</si>
  <si>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</si>
  <si>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</si>
  <si>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</si>
  <si>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</si>
  <si>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</si>
  <si>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</si>
  <si>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</si>
  <si>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</si>
  <si>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</si>
  <si>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</si>
  <si>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</si>
  <si>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</si>
  <si>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</si>
  <si>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</si>
  <si>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</si>
  <si>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</si>
  <si>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</si>
  <si>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</si>
  <si>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</si>
  <si>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</si>
  <si>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</si>
  <si>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</si>
  <si>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</si>
  <si>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</si>
  <si>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</si>
  <si>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</si>
  <si>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</si>
  <si>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</si>
  <si>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</si>
  <si>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</si>
  <si>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</si>
  <si>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</si>
  <si>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</si>
  <si>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</si>
  <si>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</si>
  <si>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</si>
  <si>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</si>
  <si>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</si>
  <si>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</si>
  <si>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</si>
  <si>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</si>
  <si>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</si>
  <si>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</si>
  <si>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</si>
  <si>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</si>
  <si>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</si>
  <si>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</si>
  <si>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</si>
  <si>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</si>
  <si>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</si>
  <si>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</si>
  <si>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</si>
  <si>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</si>
  <si>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</si>
  <si>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</si>
  <si>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</si>
  <si>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</si>
  <si>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</si>
  <si>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</si>
  <si>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</si>
  <si>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</si>
  <si>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</si>
  <si>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</si>
  <si>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</si>
  <si>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</si>
  <si>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</si>
  <si>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</si>
  <si>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</si>
  <si>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</si>
  <si>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</si>
  <si>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</si>
  <si>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</si>
  <si>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</si>
  <si>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</si>
  <si>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</si>
  <si>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</si>
  <si>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</si>
  <si>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</si>
  <si>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</si>
  <si>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</si>
  <si>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</si>
  <si>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</si>
  <si>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</si>
  <si>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</si>
  <si>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</si>
  <si>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</si>
  <si>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</si>
  <si>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</si>
  <si>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</si>
  <si>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</si>
  <si>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</si>
  <si>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</si>
  <si>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</si>
  <si>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</si>
  <si>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</si>
  <si>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</si>
  <si>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</si>
  <si>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</si>
  <si>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</si>
  <si>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</si>
  <si>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</si>
  <si>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</si>
  <si>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</si>
  <si>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</si>
  <si>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</si>
  <si>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</si>
  <si>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</si>
  <si>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</si>
  <si>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</si>
  <si>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</si>
  <si>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</si>
  <si>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</si>
  <si>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</si>
  <si>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</si>
  <si>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</si>
  <si>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</si>
  <si>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</si>
  <si>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</si>
  <si>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</si>
  <si>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</si>
  <si>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</si>
  <si>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</si>
  <si>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</si>
  <si>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</si>
  <si>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</si>
  <si>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</si>
  <si>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</si>
  <si>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</si>
  <si>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</si>
  <si>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</si>
  <si>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</si>
  <si>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</si>
  <si>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</si>
  <si>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</si>
  <si>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</si>
  <si>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</si>
  <si>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</si>
  <si>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</si>
  <si>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</si>
  <si>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</si>
  <si>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</si>
  <si>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</si>
  <si>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</si>
  <si>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</si>
  <si>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</si>
  <si>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</si>
  <si>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</si>
  <si>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</si>
  <si>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</si>
  <si>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</si>
  <si>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</si>
  <si>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</si>
  <si>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</si>
  <si>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</si>
  <si>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</si>
  <si>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</si>
  <si>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</si>
  <si>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</si>
  <si>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</si>
  <si>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</si>
  <si>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</si>
  <si>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</si>
  <si>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</si>
  <si>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</si>
  <si>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</si>
  <si>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</si>
  <si>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</si>
  <si>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</si>
  <si>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</si>
  <si>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</si>
  <si>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</si>
  <si>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</si>
  <si>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</si>
  <si>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</si>
  <si>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</si>
  <si>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</si>
  <si>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</si>
  <si>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</si>
  <si>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</si>
  <si>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</si>
  <si>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</si>
  <si>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</si>
  <si>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</si>
  <si>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</si>
  <si>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</si>
  <si>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</si>
  <si>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</si>
  <si>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</si>
  <si>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</si>
  <si>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</si>
  <si>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</si>
  <si>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</si>
  <si>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</si>
  <si>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</si>
  <si>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</si>
  <si>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</si>
  <si>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</si>
  <si>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</si>
  <si>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</si>
  <si>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</si>
  <si>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</si>
  <si>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</si>
  <si>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</si>
  <si>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</si>
  <si>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</si>
  <si>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</si>
  <si>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</si>
  <si>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</si>
  <si>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</si>
  <si>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</si>
  <si>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</si>
  <si>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</si>
  <si>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</si>
  <si>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</si>
  <si>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</si>
  <si>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</si>
  <si>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</si>
  <si>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</si>
  <si>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</si>
  <si>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</si>
  <si>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</si>
  <si>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</si>
  <si>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</si>
  <si>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</si>
  <si>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</si>
  <si>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</si>
  <si>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</si>
  <si>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</si>
  <si>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</si>
  <si>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</si>
  <si>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</si>
  <si>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</si>
  <si>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</si>
  <si>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</si>
  <si>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</si>
  <si>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</si>
  <si>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</si>
  <si>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</si>
  <si>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</si>
  <si>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</si>
  <si>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</si>
  <si>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</si>
  <si>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</si>
  <si>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</si>
  <si>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</si>
  <si>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</si>
  <si>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</si>
  <si>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</si>
  <si>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</si>
  <si>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</si>
  <si>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</si>
  <si>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</si>
  <si>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</si>
  <si>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</si>
  <si>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</si>
  <si>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</si>
  <si>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</si>
  <si>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</si>
  <si>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</si>
  <si>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</si>
  <si>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</si>
  <si>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</si>
  <si>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</si>
  <si>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</si>
  <si>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</si>
  <si>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</si>
  <si>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</si>
  <si>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</si>
  <si>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</si>
  <si>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</si>
  <si>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</si>
  <si>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</si>
  <si>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</si>
  <si>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</si>
  <si>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</si>
  <si>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</si>
  <si>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</si>
  <si>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</si>
  <si>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</si>
  <si>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</si>
  <si>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</si>
  <si>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</si>
  <si>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</si>
  <si>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</si>
  <si>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</si>
  <si>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</si>
  <si>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</si>
  <si>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</si>
  <si>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</si>
  <si>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</si>
  <si>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</si>
  <si>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</si>
  <si>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</si>
  <si>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</si>
  <si>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</si>
  <si>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</si>
  <si>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</si>
  <si>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</si>
  <si>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</si>
  <si>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</si>
  <si>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</si>
  <si>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</si>
  <si>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</si>
  <si>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</si>
  <si>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</si>
  <si>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</si>
  <si>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</si>
  <si>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</si>
  <si>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</si>
  <si>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</si>
  <si>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</si>
  <si>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</si>
  <si>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</si>
  <si>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</si>
  <si>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</si>
  <si>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</si>
  <si>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</si>
  <si>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</si>
  <si>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</si>
  <si>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</si>
  <si>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</si>
  <si>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</si>
  <si>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</si>
  <si>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</si>
  <si>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</si>
  <si>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</si>
  <si>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</si>
  <si>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</si>
  <si>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</si>
  <si>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</si>
  <si>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</si>
  <si>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</si>
  <si>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</si>
  <si>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</si>
  <si>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</si>
  <si>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</si>
  <si>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</si>
  <si>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</si>
  <si>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</si>
  <si>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</si>
  <si>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</si>
  <si>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</si>
  <si>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</si>
  <si>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</si>
  <si>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</si>
  <si>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</si>
  <si>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</si>
  <si>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</si>
  <si>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</si>
  <si>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</si>
  <si>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</si>
  <si>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</si>
  <si>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</si>
  <si>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</si>
  <si>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</si>
  <si>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</si>
  <si>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</si>
  <si>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</si>
  <si>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</si>
  <si>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</si>
  <si>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</si>
  <si>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</si>
  <si>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</si>
  <si>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</si>
  <si>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</si>
  <si>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</si>
  <si>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</si>
  <si>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</si>
  <si>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</si>
  <si>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</si>
  <si>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</si>
  <si>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</si>
  <si>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</si>
  <si>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</si>
  <si>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</si>
  <si>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</si>
  <si>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</si>
  <si>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</si>
  <si>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</si>
  <si>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</si>
  <si>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</si>
  <si>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</si>
  <si>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</si>
  <si>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</si>
  <si>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</si>
  <si>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</si>
  <si>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</si>
  <si>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</si>
  <si>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</si>
  <si>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</si>
  <si>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</si>
  <si>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</si>
  <si>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</si>
  <si>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</si>
  <si>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</si>
  <si>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</si>
  <si>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</si>
  <si>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</si>
  <si>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</si>
  <si>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</si>
  <si>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</si>
  <si>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</si>
  <si>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</si>
  <si>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</si>
  <si>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</si>
  <si>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</si>
  <si>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</si>
  <si>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</si>
  <si>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</si>
  <si>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</si>
  <si>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</si>
  <si>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</si>
  <si>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</si>
  <si>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</si>
  <si>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</si>
  <si>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</si>
  <si>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</si>
  <si>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</si>
  <si>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</si>
  <si>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</si>
  <si>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</si>
  <si>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</si>
  <si>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</si>
  <si>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</si>
  <si>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</si>
  <si>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</si>
  <si>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</si>
  <si>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</si>
  <si>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</si>
  <si>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</si>
  <si>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</si>
  <si>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</si>
  <si>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</si>
  <si>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</si>
  <si>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</si>
  <si>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</si>
  <si>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</si>
  <si>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</si>
  <si>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</si>
  <si>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</si>
  <si>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</si>
  <si>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</si>
  <si>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</si>
  <si>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</si>
  <si>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</si>
  <si>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</si>
  <si>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</si>
  <si>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</si>
  <si>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</si>
  <si>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</si>
  <si>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</si>
  <si>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</si>
  <si>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</si>
  <si>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</si>
  <si>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</si>
  <si>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</si>
  <si>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</si>
  <si>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</si>
  <si>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</si>
  <si>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</si>
  <si>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</si>
  <si>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</si>
  <si>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</si>
  <si>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</si>
  <si>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</si>
  <si>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</si>
  <si>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</si>
  <si>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</si>
  <si>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</si>
  <si>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</si>
  <si>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</si>
  <si>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</si>
  <si>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</si>
  <si>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</si>
  <si>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</si>
  <si>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</si>
  <si>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</si>
  <si>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</si>
  <si>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</si>
  <si>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</si>
  <si>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</si>
  <si>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</si>
  <si>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</si>
  <si>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</si>
  <si>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</si>
  <si>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</si>
  <si>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</si>
  <si>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</si>
  <si>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</si>
  <si>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</si>
  <si>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</si>
  <si>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</si>
  <si>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</si>
  <si>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</si>
  <si>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</si>
  <si>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</si>
  <si>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</si>
  <si>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</si>
  <si>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</si>
  <si>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</si>
  <si>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</si>
  <si>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</si>
  <si>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</si>
  <si>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</si>
  <si>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</si>
  <si>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</si>
  <si>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</si>
  <si>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</si>
  <si>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</si>
  <si>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</si>
  <si>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</si>
  <si>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</si>
  <si>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</si>
  <si>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</si>
  <si>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</si>
  <si>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</si>
  <si>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</si>
  <si>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</si>
  <si>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</si>
  <si>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</si>
  <si>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</si>
  <si>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</si>
  <si>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</si>
  <si>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</si>
  <si>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</si>
  <si>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</si>
  <si>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</si>
  <si>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</si>
  <si>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</si>
  <si>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</si>
  <si>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</si>
  <si>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</si>
  <si>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</si>
  <si>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</si>
  <si>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</si>
  <si>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</si>
  <si>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</si>
  <si>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</si>
  <si>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</si>
  <si>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</si>
  <si>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</si>
  <si>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</si>
  <si>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</si>
  <si>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</si>
  <si>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</si>
  <si>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</si>
  <si>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</si>
  <si>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</si>
  <si>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</si>
  <si>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</si>
  <si>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</si>
  <si>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</si>
  <si>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</si>
  <si>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</si>
  <si>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</si>
  <si>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</si>
  <si>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</si>
  <si>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</si>
  <si>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</si>
  <si>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</si>
  <si>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</si>
  <si>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</si>
  <si>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</si>
  <si>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</si>
  <si>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</si>
  <si>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</si>
  <si>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</si>
  <si>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</si>
  <si>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</si>
  <si>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</si>
  <si>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</si>
  <si>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</si>
  <si>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</si>
  <si>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</si>
  <si>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</si>
  <si>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</si>
  <si>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</si>
  <si>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</si>
  <si>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</si>
  <si>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</si>
  <si>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</si>
  <si>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</si>
  <si>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</si>
  <si>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</si>
  <si>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</si>
  <si>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</si>
  <si>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</si>
  <si>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</si>
  <si>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</si>
  <si>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</si>
  <si>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</si>
  <si>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</si>
  <si>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</si>
  <si>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</si>
  <si>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</si>
  <si>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</si>
  <si>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</si>
  <si>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</si>
  <si>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</si>
  <si>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</si>
  <si>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</si>
  <si>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</si>
  <si>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</si>
  <si>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</si>
  <si>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</si>
  <si>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</si>
  <si>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</si>
  <si>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</si>
  <si>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</si>
  <si>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</si>
  <si>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</si>
  <si>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</si>
  <si>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</si>
  <si>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</si>
  <si>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</si>
  <si>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</si>
  <si>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</si>
  <si>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</si>
  <si>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</si>
  <si>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</si>
  <si>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</si>
  <si>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</si>
  <si>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</si>
  <si>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</si>
  <si>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</si>
  <si>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</si>
  <si>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</si>
  <si>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</si>
  <si>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</si>
  <si>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</si>
  <si>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</si>
  <si>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</si>
  <si>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</si>
  <si>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</si>
  <si>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</si>
  <si>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</si>
  <si>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</si>
  <si>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</si>
  <si>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</si>
  <si>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</si>
  <si>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</si>
  <si>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</si>
  <si>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</si>
  <si>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</si>
  <si>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</si>
  <si>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</si>
  <si>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</si>
  <si>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</si>
  <si>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</si>
  <si>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</si>
  <si>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</si>
  <si>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</si>
  <si>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</si>
  <si>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</si>
  <si>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</si>
  <si>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</si>
  <si>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</si>
  <si>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</si>
  <si>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</si>
  <si>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</si>
  <si>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</si>
  <si>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</si>
  <si>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</si>
  <si>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</si>
  <si>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</si>
  <si>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</si>
  <si>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</si>
  <si>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</si>
  <si>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</si>
  <si>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</si>
  <si>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</si>
  <si>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</si>
  <si>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</si>
  <si>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</si>
  <si>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</si>
  <si>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</si>
  <si>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</si>
  <si>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</si>
  <si>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</si>
  <si>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</si>
  <si>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</si>
  <si>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</si>
  <si>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</si>
  <si>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</si>
  <si>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</si>
  <si>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</si>
  <si>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</si>
  <si>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</si>
  <si>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</si>
  <si>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</si>
  <si>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</si>
  <si>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</si>
  <si>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</si>
  <si>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</si>
  <si>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</si>
  <si>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</si>
  <si>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</si>
  <si>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</si>
  <si>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</si>
  <si>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</si>
  <si>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</si>
  <si>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</si>
  <si>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</si>
  <si>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</si>
  <si>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</si>
  <si>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</si>
  <si>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</si>
  <si>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</si>
  <si>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</si>
  <si>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</si>
  <si>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</si>
  <si>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</si>
  <si>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</si>
  <si>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</si>
  <si>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</si>
  <si>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</si>
  <si>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</si>
  <si>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</si>
  <si>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</si>
  <si>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</si>
  <si>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</si>
  <si>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</si>
  <si>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</si>
  <si>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</si>
  <si>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</si>
  <si>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</si>
  <si>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</si>
  <si>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</si>
  <si>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</si>
  <si>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</si>
  <si>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</si>
  <si>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</si>
  <si>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</si>
  <si>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</si>
  <si>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</si>
  <si>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</si>
  <si>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</si>
  <si>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</si>
  <si>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</si>
  <si>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</si>
  <si>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</si>
  <si>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</si>
  <si>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</si>
  <si>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</si>
  <si>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</si>
  <si>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</si>
  <si>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</si>
  <si>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</si>
  <si>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</si>
  <si>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</si>
  <si>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</si>
  <si>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</si>
  <si>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</si>
  <si>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</si>
  <si>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</si>
  <si>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</si>
  <si>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</si>
  <si>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</si>
  <si>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</si>
  <si>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</si>
  <si>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</si>
  <si>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</si>
  <si>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</si>
  <si>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</si>
  <si>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</si>
  <si>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</si>
  <si>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</si>
  <si>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</si>
  <si>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</si>
  <si>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</si>
  <si>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</si>
  <si>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</si>
  <si>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</si>
  <si>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</si>
  <si>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</si>
  <si>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</si>
  <si>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</si>
  <si>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</si>
  <si>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</si>
  <si>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</si>
  <si>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</si>
  <si>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</si>
  <si>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</si>
  <si>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</si>
  <si>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</si>
  <si>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</si>
  <si>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</si>
  <si>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</si>
  <si>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</si>
  <si>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</si>
  <si>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</si>
  <si>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</si>
  <si>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</si>
  <si>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</si>
  <si>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</si>
  <si>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</si>
  <si>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</si>
  <si>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</si>
  <si>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</si>
  <si>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</si>
  <si>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</si>
  <si>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</si>
  <si>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</si>
  <si>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</si>
  <si>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</si>
  <si>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</si>
  <si>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</si>
  <si>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</si>
  <si>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</si>
  <si>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</si>
  <si>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</si>
  <si>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</si>
  <si>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</si>
  <si>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</si>
  <si>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</si>
  <si>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</si>
  <si>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</si>
  <si>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</si>
  <si>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</si>
  <si>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</si>
  <si>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</si>
  <si>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</si>
  <si>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</si>
  <si>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</si>
  <si>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</si>
  <si>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</si>
  <si>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</si>
  <si>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</si>
  <si>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</si>
  <si>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</si>
  <si>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</si>
  <si>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</si>
  <si>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</si>
  <si>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</si>
  <si>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</si>
  <si>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</si>
  <si>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</si>
  <si>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</si>
  <si>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</si>
  <si>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</si>
  <si>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</si>
  <si>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</si>
  <si>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</si>
  <si>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</si>
  <si>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</si>
  <si>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</si>
  <si>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</si>
  <si>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</si>
  <si>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</si>
  <si>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</si>
  <si>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</si>
  <si>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</si>
  <si>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</si>
  <si>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</si>
  <si>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</si>
  <si>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</si>
  <si>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</si>
  <si>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</si>
  <si>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</si>
  <si>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</si>
  <si>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</si>
  <si>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</si>
  <si>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</si>
  <si>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</si>
  <si>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</si>
  <si>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</si>
  <si>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</si>
  <si>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</si>
  <si>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</si>
  <si>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</si>
  <si>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</si>
  <si>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</si>
  <si>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</si>
  <si>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</si>
  <si>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</si>
  <si>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</si>
  <si>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</si>
  <si>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</si>
  <si>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</si>
  <si>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</si>
  <si>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</si>
  <si>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</si>
  <si>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</si>
  <si>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</si>
  <si>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</si>
  <si>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</si>
  <si>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</si>
  <si>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</si>
  <si>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</si>
  <si>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</si>
  <si>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</si>
  <si>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</si>
  <si>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</si>
  <si>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</si>
  <si>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</si>
  <si>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</si>
  <si>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</si>
  <si>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</si>
  <si>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</si>
  <si>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</si>
  <si>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</si>
  <si>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</si>
  <si>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</si>
  <si>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</si>
  <si>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</si>
  <si>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</si>
  <si>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</si>
  <si>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</si>
  <si>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</si>
  <si>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</si>
  <si>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</si>
  <si>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</si>
  <si>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</si>
  <si>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</si>
  <si>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</si>
  <si>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</si>
  <si>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</si>
  <si>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</si>
  <si>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</si>
  <si>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</si>
  <si>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</si>
  <si>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</si>
  <si>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</si>
  <si>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</si>
  <si>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</si>
  <si>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</si>
  <si>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</si>
  <si>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</si>
  <si>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</si>
  <si>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</si>
  <si>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</si>
  <si>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</si>
  <si>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</si>
  <si>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</si>
  <si>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</si>
  <si>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</si>
  <si>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</si>
  <si>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</si>
  <si>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</si>
  <si>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</si>
  <si>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</si>
  <si>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</si>
  <si>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</si>
  <si>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</si>
  <si>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</si>
  <si>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</si>
  <si>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</si>
  <si>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</si>
  <si>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</si>
  <si>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</si>
  <si>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</si>
  <si>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</si>
  <si>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</si>
  <si>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</si>
  <si>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</si>
  <si>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</si>
  <si>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</si>
  <si>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</si>
  <si>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</si>
  <si>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</si>
  <si>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</si>
  <si>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</si>
  <si>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</si>
  <si>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</si>
  <si>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</si>
  <si>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</si>
  <si>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</si>
  <si>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</si>
  <si>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</si>
  <si>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</si>
  <si>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</si>
  <si>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</si>
  <si>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</si>
  <si>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</si>
  <si>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</si>
  <si>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</si>
  <si>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</si>
  <si>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</si>
  <si>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</si>
  <si>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</si>
  <si>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</si>
  <si>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</si>
  <si>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</si>
  <si>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</si>
  <si>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</si>
  <si>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</si>
  <si>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</si>
  <si>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</si>
  <si>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</si>
  <si>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</si>
  <si>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</si>
  <si>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</si>
  <si>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</si>
  <si>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</si>
  <si>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</si>
  <si>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</si>
  <si>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</si>
  <si>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</si>
  <si>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</si>
  <si>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</si>
  <si>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</si>
  <si>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</si>
  <si>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</si>
  <si>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</si>
  <si>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</si>
  <si>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</si>
  <si>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</si>
  <si>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</si>
  <si>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</si>
  <si>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</si>
  <si>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</si>
  <si>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</si>
  <si>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</si>
  <si>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</si>
  <si>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</si>
  <si>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</si>
  <si>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</si>
  <si>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</si>
  <si>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</si>
  <si>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</si>
  <si>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</si>
  <si>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</si>
  <si>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</si>
  <si>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</si>
  <si>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</si>
  <si>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</si>
  <si>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</si>
  <si>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</si>
  <si>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</si>
  <si>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</si>
  <si>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</si>
  <si>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</si>
  <si>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</si>
  <si>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</si>
  <si>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</si>
  <si>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</si>
  <si>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</si>
  <si>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</si>
  <si>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</si>
  <si>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</si>
  <si>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</si>
  <si>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</si>
  <si>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</si>
  <si>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</si>
  <si>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</si>
  <si>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</si>
  <si>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</si>
  <si>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</si>
  <si>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</si>
  <si>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</si>
  <si>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</si>
  <si>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</si>
  <si>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</si>
  <si>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</si>
  <si>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</si>
  <si>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</si>
  <si>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</si>
  <si>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</si>
  <si>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</si>
  <si>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</si>
  <si>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</si>
  <si>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</si>
  <si>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</si>
  <si>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</si>
  <si>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</si>
  <si>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</si>
  <si>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</si>
  <si>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</si>
  <si>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</si>
  <si>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</si>
  <si>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</si>
  <si>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</si>
  <si>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</si>
  <si>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</si>
  <si>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</si>
  <si>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</si>
  <si>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</si>
  <si>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</si>
  <si>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</si>
  <si>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</si>
  <si>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</si>
  <si>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</si>
  <si>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</si>
  <si>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</si>
  <si>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</si>
  <si>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</si>
  <si>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</si>
  <si>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</si>
  <si>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</si>
  <si>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</si>
  <si>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</si>
  <si>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</si>
  <si>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</si>
  <si>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</si>
  <si>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</si>
  <si>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</si>
  <si>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</si>
  <si>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</si>
  <si>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</si>
  <si>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</si>
  <si>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</si>
  <si>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</si>
  <si>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</si>
  <si>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</si>
  <si>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</si>
  <si>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</si>
  <si>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</si>
  <si>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</si>
  <si>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</si>
  <si>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</si>
  <si>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</si>
  <si>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</si>
  <si>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</si>
  <si>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</si>
  <si>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</si>
  <si>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</si>
  <si>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</si>
  <si>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</si>
  <si>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</si>
  <si>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</si>
  <si>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</si>
  <si>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</si>
  <si>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</si>
  <si>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</si>
  <si>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</si>
  <si>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</si>
  <si>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</si>
  <si>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</si>
  <si>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</si>
  <si>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</si>
  <si>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</si>
  <si>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</si>
  <si>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</si>
  <si>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</si>
  <si>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</si>
  <si>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</si>
  <si>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</si>
  <si>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</si>
  <si>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</si>
  <si>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</si>
  <si>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</si>
  <si>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</si>
  <si>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</si>
  <si>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</si>
  <si>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</si>
  <si>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</si>
  <si>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</si>
  <si>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</si>
  <si>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</si>
  <si>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</si>
  <si>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</si>
  <si>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</si>
  <si>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</si>
  <si>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</si>
  <si>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</si>
  <si>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</si>
  <si>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</si>
  <si>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</si>
  <si>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</si>
  <si>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</si>
  <si>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</si>
  <si>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</si>
  <si>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</si>
  <si>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</si>
  <si>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</si>
  <si>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</si>
  <si>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</si>
  <si>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</si>
  <si>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</si>
  <si>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</si>
  <si>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</si>
  <si>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</si>
  <si>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</si>
  <si>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</si>
  <si>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</si>
  <si>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</si>
  <si>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</si>
  <si>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</si>
  <si>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</si>
  <si>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</si>
  <si>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</si>
  <si>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</si>
  <si>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</si>
  <si>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</si>
  <si>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</si>
  <si>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</si>
  <si>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</si>
  <si>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</si>
  <si>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</si>
  <si>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</si>
  <si>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</si>
  <si>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</si>
  <si>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</si>
  <si>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</si>
  <si>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</si>
  <si>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</si>
  <si>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</si>
  <si>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</si>
  <si>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</si>
  <si>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</si>
  <si>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</si>
  <si>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</si>
  <si>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</si>
  <si>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</si>
  <si>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</si>
  <si>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</si>
  <si>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</si>
  <si>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</si>
  <si>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</si>
  <si>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</si>
  <si>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</si>
  <si>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</si>
  <si>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</si>
  <si>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</si>
  <si>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</si>
  <si>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</si>
  <si>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</si>
  <si>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</si>
  <si>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</si>
  <si>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</si>
  <si>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</si>
  <si>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</si>
  <si>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</si>
  <si>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</si>
  <si>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</si>
  <si>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</si>
  <si>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</si>
  <si>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</si>
  <si>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</si>
  <si>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</si>
  <si>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</si>
  <si>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</si>
  <si>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</si>
  <si>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</si>
  <si>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</si>
  <si>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</si>
  <si>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</si>
  <si>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</si>
  <si>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</si>
  <si>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</si>
  <si>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</si>
  <si>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</si>
  <si>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</si>
  <si>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</si>
  <si>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</si>
  <si>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</si>
  <si>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</si>
  <si>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</si>
  <si>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</si>
  <si>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</si>
  <si>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</si>
  <si>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</si>
  <si>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</si>
  <si>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</si>
  <si>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</si>
  <si>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</si>
  <si>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</si>
  <si>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</si>
  <si>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</si>
  <si>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</si>
  <si>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</si>
  <si>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</si>
  <si>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</si>
  <si>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</si>
  <si>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</si>
  <si>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</si>
  <si>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</si>
  <si>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</si>
  <si>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</si>
  <si>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</si>
  <si>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</si>
  <si>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</si>
  <si>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</si>
  <si>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</si>
  <si>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</si>
  <si>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</si>
  <si>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</si>
  <si>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</si>
  <si>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</si>
  <si>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</si>
  <si>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</si>
  <si>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</si>
  <si>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</si>
  <si>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</si>
  <si>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</si>
  <si>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</si>
  <si>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</si>
  <si>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</si>
  <si>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</si>
  <si>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</si>
  <si>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</si>
  <si>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</si>
  <si>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</si>
  <si>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</si>
  <si>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</si>
  <si>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</si>
  <si>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</si>
  <si>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</si>
  <si>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</si>
  <si>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</si>
  <si>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</si>
  <si>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</si>
  <si>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</si>
  <si>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</si>
  <si>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</si>
  <si>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</si>
  <si>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</si>
  <si>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</si>
  <si>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</si>
  <si>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</si>
  <si>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</si>
  <si>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</si>
  <si>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</si>
  <si>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</si>
  <si>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</si>
  <si>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</si>
  <si>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</si>
  <si>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</si>
  <si>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</si>
  <si>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</si>
  <si>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</si>
  <si>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</si>
  <si>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</si>
  <si>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</si>
  <si>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</si>
  <si>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</si>
  <si>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</si>
  <si>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</si>
  <si>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</si>
  <si>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</si>
  <si>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</si>
  <si>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</si>
  <si>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</si>
  <si>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</si>
  <si>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</si>
  <si>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</si>
  <si>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</si>
  <si>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</si>
  <si>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</si>
  <si>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</si>
  <si>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</si>
  <si>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</si>
  <si>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</si>
  <si>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</si>
  <si>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</si>
  <si>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</si>
  <si>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</si>
  <si>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</si>
  <si>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</si>
  <si>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</si>
  <si>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</si>
  <si>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</si>
  <si>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</si>
  <si>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</si>
  <si>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</si>
  <si>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</si>
  <si>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</si>
  <si>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</si>
  <si>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</si>
  <si>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</si>
  <si>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</si>
  <si>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</si>
  <si>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</si>
  <si>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</si>
  <si>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</si>
  <si>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</si>
  <si>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</si>
  <si>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</si>
  <si>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</si>
  <si>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</si>
  <si>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</si>
  <si>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</si>
  <si>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</si>
  <si>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</si>
  <si>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</si>
  <si>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</si>
  <si>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</si>
  <si>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</si>
  <si>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</si>
  <si>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</si>
  <si>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</si>
  <si>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</si>
  <si>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</si>
  <si>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</si>
  <si>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</si>
  <si>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</si>
  <si>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</si>
  <si>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</si>
  <si>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</si>
  <si>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</si>
  <si>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</si>
  <si>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</si>
  <si>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</si>
  <si>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</si>
  <si>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</si>
  <si>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</si>
  <si>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</si>
  <si>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</si>
  <si>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</si>
  <si>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</si>
  <si>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</si>
  <si>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</si>
  <si>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</si>
  <si>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</si>
  <si>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</si>
  <si>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</si>
  <si>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</si>
  <si>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</si>
  <si>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</si>
  <si>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</si>
  <si>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</si>
  <si>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</si>
  <si>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</si>
  <si>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</si>
  <si>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</si>
  <si>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</si>
  <si>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</si>
  <si>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</si>
  <si>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</si>
  <si>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</si>
  <si>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</si>
  <si>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</si>
  <si>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</si>
  <si>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</si>
  <si>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</si>
  <si>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</si>
  <si>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</si>
  <si>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</si>
  <si>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</si>
  <si>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</si>
  <si>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</si>
  <si>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</si>
  <si>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</si>
  <si>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</si>
  <si>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</si>
  <si>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</si>
  <si>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</si>
  <si>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</si>
  <si>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</si>
  <si>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</si>
  <si>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</si>
  <si>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</si>
  <si>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</si>
  <si>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</si>
  <si>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</si>
  <si>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</si>
  <si>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</si>
  <si>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</si>
  <si>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</si>
  <si>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</si>
  <si>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</si>
  <si>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</si>
  <si>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</si>
  <si>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</si>
  <si>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</si>
  <si>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</si>
  <si>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</si>
  <si>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</si>
  <si>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</si>
  <si>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</si>
  <si>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</si>
  <si>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</si>
  <si>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</si>
  <si>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</si>
  <si>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</si>
  <si>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</si>
  <si>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</si>
  <si>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</si>
  <si>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</si>
  <si>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</si>
  <si>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</si>
  <si>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</si>
  <si>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</si>
  <si>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</si>
  <si>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</si>
  <si>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</si>
  <si>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</si>
  <si>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</si>
  <si>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</si>
  <si>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</si>
  <si>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</si>
  <si>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</si>
  <si>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</si>
  <si>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</si>
  <si>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</si>
  <si>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</si>
  <si>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</si>
  <si>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</si>
  <si>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</si>
  <si>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</si>
  <si>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</si>
  <si>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</si>
  <si>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</si>
  <si>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</si>
  <si>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</si>
  <si>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</si>
  <si>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</si>
  <si>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</si>
  <si>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</si>
  <si>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</si>
  <si>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</si>
  <si>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</si>
  <si>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</si>
  <si>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</si>
  <si>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</si>
  <si>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</si>
  <si>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</si>
  <si>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</si>
  <si>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</si>
  <si>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</si>
  <si>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</si>
  <si>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</si>
  <si>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</si>
  <si>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</si>
  <si>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</si>
  <si>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</si>
  <si>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</si>
  <si>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</si>
  <si>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</si>
  <si>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</si>
  <si>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</si>
  <si>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</si>
  <si>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</si>
  <si>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</si>
  <si>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</si>
  <si>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</si>
  <si>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</si>
  <si>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</si>
  <si>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</si>
  <si>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</si>
  <si>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</si>
  <si>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</si>
  <si>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</si>
  <si>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</si>
  <si>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</si>
  <si>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</si>
  <si>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</si>
  <si>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</si>
  <si>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</si>
  <si>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</si>
  <si>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</si>
  <si>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</si>
  <si>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</si>
  <si>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</si>
  <si>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</si>
  <si>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</si>
  <si>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</si>
  <si>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</si>
  <si>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</si>
  <si>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</si>
  <si>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</si>
  <si>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</si>
  <si>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</si>
  <si>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</si>
  <si>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</si>
  <si>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</si>
  <si>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</si>
  <si>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</si>
  <si>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</si>
  <si>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</si>
  <si>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</si>
  <si>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</si>
  <si>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</si>
  <si>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</si>
  <si>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</si>
  <si>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</si>
  <si>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</si>
  <si>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</si>
  <si>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</si>
  <si>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</si>
  <si>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</si>
  <si>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</si>
  <si>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</si>
  <si>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</si>
  <si>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</si>
  <si>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</si>
  <si>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</si>
  <si>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</si>
  <si>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</si>
  <si>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</si>
  <si>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</si>
  <si>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</si>
  <si>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</si>
  <si>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</si>
  <si>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</si>
  <si>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</si>
  <si>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</si>
  <si>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</si>
  <si>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</si>
  <si>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</si>
  <si>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</si>
  <si>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</si>
  <si>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</si>
  <si>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</si>
  <si>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</si>
  <si>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</si>
  <si>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</si>
  <si>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</si>
  <si>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</si>
  <si>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</si>
  <si>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</si>
  <si>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</si>
  <si>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</si>
  <si>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</si>
  <si>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</si>
  <si>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</si>
  <si>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</si>
  <si>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</si>
  <si>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</si>
  <si>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</si>
  <si>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</si>
  <si>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</si>
  <si>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</si>
  <si>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</si>
  <si>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</si>
  <si>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</si>
  <si>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</si>
  <si>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</si>
  <si>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</si>
  <si>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</si>
  <si>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</si>
  <si>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</si>
  <si>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</si>
  <si>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</si>
  <si>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</si>
  <si>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</si>
  <si>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</si>
  <si>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</si>
  <si>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</si>
  <si>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</si>
  <si>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</si>
  <si>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</si>
  <si>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</si>
  <si>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</si>
  <si>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</si>
  <si>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</si>
  <si>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</si>
  <si>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</si>
  <si>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</si>
  <si>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</si>
  <si>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</si>
  <si>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</si>
  <si>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</si>
  <si>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</si>
  <si>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</si>
  <si>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</si>
  <si>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</si>
  <si>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</si>
  <si>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</si>
  <si>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</si>
  <si>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</si>
  <si>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</si>
  <si>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</si>
  <si>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</si>
  <si>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</si>
  <si>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</si>
  <si>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</si>
  <si>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</si>
  <si>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</si>
  <si>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</si>
  <si>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</si>
  <si>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</si>
  <si>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</si>
  <si>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</si>
  <si>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</si>
  <si>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</si>
  <si>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</si>
  <si>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</si>
  <si>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</si>
  <si>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</si>
  <si>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</si>
  <si>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</si>
  <si>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</si>
  <si>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</si>
  <si>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</si>
  <si>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</si>
  <si>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</si>
  <si>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</si>
  <si>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</si>
  <si>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</si>
  <si>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</si>
  <si>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</si>
  <si>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</si>
  <si>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</si>
  <si>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</si>
  <si>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</si>
  <si>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</si>
  <si>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</si>
  <si>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</si>
  <si>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</si>
  <si>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</si>
  <si>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</si>
  <si>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</si>
  <si>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</si>
  <si>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</si>
  <si>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</si>
  <si>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</si>
  <si>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</si>
  <si>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</si>
  <si>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</si>
  <si>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</si>
  <si>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</si>
  <si>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</si>
  <si>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</si>
  <si>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</si>
  <si>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</si>
  <si>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</si>
  <si>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</si>
  <si>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</si>
  <si>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</si>
  <si>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</si>
  <si>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</si>
  <si>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</si>
  <si>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</si>
  <si>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</si>
  <si>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</si>
  <si>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</si>
  <si>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</si>
  <si>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</si>
  <si>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</si>
  <si>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</si>
  <si>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</si>
  <si>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</si>
  <si>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</si>
  <si>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</si>
  <si>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</si>
  <si>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</si>
  <si>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</si>
  <si>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</si>
  <si>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</si>
  <si>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</si>
  <si>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</si>
  <si>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</si>
  <si>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</si>
  <si>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</si>
  <si>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</si>
  <si>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</si>
  <si>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</si>
  <si>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</si>
  <si>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</si>
  <si>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</si>
  <si>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</si>
  <si>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</si>
  <si>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</si>
  <si>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</si>
  <si>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</si>
  <si>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</si>
  <si>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</si>
  <si>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</si>
  <si>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</si>
  <si>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</si>
  <si>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</si>
  <si>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</si>
  <si>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</si>
  <si>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</si>
  <si>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</si>
  <si>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</si>
  <si>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</si>
  <si>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</si>
  <si>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</si>
  <si>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</si>
  <si>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</si>
  <si>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</si>
  <si>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</si>
  <si>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</si>
  <si>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</si>
  <si>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</si>
  <si>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</si>
  <si>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</si>
  <si>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</si>
  <si>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</si>
  <si>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</si>
  <si>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</si>
  <si>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</si>
  <si>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</si>
  <si>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</si>
  <si>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</si>
  <si>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</si>
  <si>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</si>
  <si>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</si>
  <si>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</si>
  <si>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</si>
  <si>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</si>
  <si>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</si>
  <si>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</si>
  <si>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</si>
  <si>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</si>
  <si>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</si>
  <si>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</si>
  <si>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</si>
  <si>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</si>
  <si>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</si>
  <si>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</si>
  <si>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</si>
  <si>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</si>
  <si>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</si>
  <si>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</si>
  <si>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</si>
  <si>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</si>
  <si>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</si>
  <si>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</si>
  <si>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</si>
  <si>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</si>
  <si>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</si>
  <si>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</si>
  <si>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</si>
  <si>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</si>
  <si>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</si>
  <si>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</si>
  <si>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</si>
  <si>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</si>
  <si>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</si>
  <si>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</si>
  <si>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</si>
  <si>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</si>
  <si>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</si>
  <si>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</si>
  <si>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</si>
  <si>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</si>
  <si>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</si>
  <si>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</si>
  <si>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</si>
  <si>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</si>
  <si>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</si>
  <si>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</si>
  <si>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</si>
  <si>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</si>
  <si>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</si>
  <si>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</si>
  <si>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</si>
  <si>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</si>
  <si>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</si>
  <si>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</si>
  <si>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</si>
  <si>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</si>
  <si>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</si>
  <si>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</si>
  <si>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</si>
  <si>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</si>
  <si>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</si>
  <si>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</si>
  <si>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</si>
  <si>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</si>
  <si>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</si>
  <si>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</si>
  <si>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</si>
  <si>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</si>
  <si>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</si>
  <si>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</si>
  <si>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</si>
  <si>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</si>
  <si>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</si>
  <si>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</si>
  <si>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</si>
  <si>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</si>
  <si>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</si>
  <si>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</si>
  <si>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</si>
  <si>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</si>
  <si>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</si>
  <si>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</si>
  <si>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</si>
  <si>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</si>
  <si>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</si>
  <si>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</si>
  <si>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</si>
  <si>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</si>
  <si>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</si>
  <si>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</si>
  <si>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</si>
  <si>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</si>
  <si>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</si>
  <si>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</si>
  <si>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</si>
  <si>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</si>
  <si>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</si>
  <si>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</si>
  <si>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</si>
  <si>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</si>
  <si>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</si>
  <si>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</si>
  <si>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</si>
  <si>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</si>
  <si>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</si>
  <si>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</si>
  <si>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</si>
  <si>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</si>
  <si>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</si>
  <si>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</si>
  <si>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</si>
  <si>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</si>
  <si>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</si>
  <si>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</si>
  <si>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</si>
  <si>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</si>
  <si>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</si>
  <si>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</si>
  <si>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</si>
  <si>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</si>
  <si>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</si>
  <si>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</si>
  <si>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</si>
  <si>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</si>
  <si>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</si>
  <si>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</si>
  <si>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</si>
  <si>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</si>
  <si>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</si>
  <si>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</si>
  <si>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</si>
  <si>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</si>
  <si>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</si>
  <si>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</si>
  <si>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</si>
  <si>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</si>
  <si>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</si>
  <si>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</si>
  <si>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</si>
  <si>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</si>
  <si>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</si>
  <si>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</si>
  <si>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</si>
  <si>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</si>
  <si>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</si>
  <si>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</si>
  <si>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</si>
  <si>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</si>
  <si>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</si>
  <si>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</si>
  <si>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</si>
  <si>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</si>
  <si>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</si>
  <si>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</si>
  <si>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</si>
  <si>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</si>
  <si>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</si>
  <si>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</si>
  <si>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</si>
  <si>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</si>
  <si>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</si>
  <si>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</si>
  <si>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</si>
  <si>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</si>
  <si>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</si>
  <si>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</si>
  <si>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</si>
  <si>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</si>
  <si>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</si>
  <si>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</si>
  <si>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</si>
  <si>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</si>
  <si>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</si>
  <si>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</si>
  <si>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</si>
  <si>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</si>
  <si>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</si>
  <si>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</si>
  <si>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</si>
  <si>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</si>
  <si>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</si>
  <si>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</si>
  <si>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</si>
  <si>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</si>
  <si>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</si>
  <si>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</si>
  <si>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</si>
  <si>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</si>
  <si>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</si>
  <si>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</si>
  <si>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</si>
  <si>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</si>
  <si>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</si>
  <si>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</si>
  <si>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</si>
  <si>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</si>
  <si>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</si>
  <si>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</si>
  <si>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</si>
  <si>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</si>
  <si>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</si>
  <si>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</si>
  <si>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</si>
  <si>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</si>
  <si>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</si>
  <si>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</si>
  <si>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</si>
  <si>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</si>
  <si>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</si>
  <si>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</si>
  <si>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</si>
  <si>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</si>
  <si>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</si>
  <si>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</si>
  <si>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</si>
  <si>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</si>
  <si>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</si>
  <si>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</si>
  <si>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</si>
  <si>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</si>
  <si>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</si>
  <si>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</si>
  <si>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</si>
  <si>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</si>
  <si>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</si>
  <si>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</si>
  <si>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</si>
  <si>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</si>
  <si>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</si>
  <si>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</si>
  <si>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</si>
  <si>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</si>
  <si>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</si>
  <si>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</si>
  <si>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</si>
  <si>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</si>
  <si>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</si>
  <si>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</si>
  <si>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</si>
  <si>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</si>
  <si>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</si>
  <si>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</si>
  <si>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</si>
  <si>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</si>
  <si>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</si>
  <si>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</si>
  <si>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</si>
  <si>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</si>
  <si>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</si>
  <si>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</si>
  <si>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</si>
  <si>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</si>
  <si>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</si>
  <si>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</si>
  <si>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</si>
  <si>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</si>
  <si>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</si>
  <si>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</si>
  <si>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</si>
  <si>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</si>
  <si>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</si>
  <si>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</si>
  <si>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</si>
  <si>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</si>
  <si>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</si>
  <si>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</si>
  <si>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</si>
  <si>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</si>
  <si>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</si>
  <si>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</si>
  <si>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</si>
  <si>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</si>
  <si>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</si>
  <si>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</si>
  <si>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</si>
  <si>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</si>
  <si>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</si>
  <si>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</si>
  <si>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</si>
  <si>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</si>
  <si>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</si>
  <si>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</si>
  <si>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</si>
  <si>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</si>
  <si>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</si>
  <si>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</si>
  <si>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</si>
  <si>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</si>
  <si>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</si>
  <si>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</si>
  <si>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</si>
  <si>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</si>
  <si>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</si>
  <si>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</si>
  <si>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</si>
  <si>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</si>
  <si>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</si>
  <si>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</si>
  <si>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</si>
  <si>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</si>
  <si>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</si>
  <si>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</si>
  <si>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</si>
  <si>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</si>
  <si>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</si>
  <si>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</si>
  <si>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</si>
  <si>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</si>
  <si>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</si>
  <si>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</si>
  <si>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</si>
  <si>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</si>
  <si>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</si>
  <si>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</si>
  <si>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</si>
  <si>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</si>
  <si>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</si>
  <si>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</si>
  <si>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</si>
  <si>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</si>
  <si>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</si>
  <si>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</si>
  <si>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</si>
  <si>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</si>
  <si>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</si>
  <si>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</si>
  <si>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</si>
  <si>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</si>
  <si>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</si>
  <si>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</si>
  <si>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</si>
  <si>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</si>
  <si>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</si>
  <si>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</si>
  <si>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</si>
  <si>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</si>
  <si>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</si>
  <si>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</si>
  <si>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</si>
  <si>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</si>
  <si>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</si>
  <si>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</si>
  <si>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</si>
  <si>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</si>
  <si>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</si>
  <si>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</si>
  <si>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</si>
  <si>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</si>
  <si>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</si>
  <si>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</si>
  <si>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</si>
  <si>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</si>
  <si>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</si>
  <si>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</si>
  <si>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</si>
  <si>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</si>
  <si>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</si>
  <si>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</si>
  <si>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</si>
  <si>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</si>
  <si>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</si>
  <si>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</si>
  <si>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</si>
  <si>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</si>
  <si>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</si>
  <si>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</si>
  <si>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</si>
  <si>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</si>
  <si>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</si>
  <si>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</si>
  <si>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</si>
  <si>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</si>
  <si>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</si>
  <si>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</si>
  <si>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</si>
  <si>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</si>
  <si>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</si>
  <si>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</si>
  <si>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</si>
  <si>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</si>
  <si>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</si>
  <si>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</si>
  <si>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</si>
  <si>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</si>
  <si>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</si>
  <si>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</si>
  <si>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</si>
  <si>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</si>
  <si>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</si>
  <si>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</si>
  <si>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</si>
  <si>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</si>
  <si>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</si>
  <si>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</si>
  <si>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</si>
  <si>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</si>
  <si>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</si>
  <si>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</si>
  <si>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</si>
  <si>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</si>
  <si>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</si>
  <si>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</si>
  <si>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</si>
  <si>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</si>
  <si>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</si>
  <si>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</si>
  <si>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</si>
  <si>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</si>
  <si>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</si>
  <si>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</si>
  <si>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</si>
  <si>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</si>
  <si>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</si>
  <si>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</si>
  <si>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</si>
  <si>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</si>
  <si>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</si>
  <si>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</si>
  <si>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</si>
  <si>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</si>
  <si>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</si>
  <si>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</si>
  <si>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</si>
  <si>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</si>
  <si>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</si>
  <si>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</si>
  <si>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</si>
  <si>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</si>
  <si>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</si>
  <si>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</si>
  <si>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</si>
  <si>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</si>
  <si>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</si>
  <si>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</si>
  <si>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</si>
  <si>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</si>
  <si>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</si>
  <si>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</si>
  <si>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</si>
  <si>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</si>
  <si>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</si>
  <si>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</si>
  <si>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</si>
  <si>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</si>
  <si>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</si>
  <si>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</si>
  <si>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</si>
  <si>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</si>
  <si>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</si>
  <si>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</si>
  <si>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</si>
  <si>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</si>
  <si>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</si>
  <si>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</si>
  <si>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</si>
  <si>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</si>
  <si>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</si>
  <si>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</si>
  <si>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</si>
  <si>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</si>
  <si>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</si>
  <si>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</si>
  <si>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</si>
  <si>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</si>
  <si>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</si>
  <si>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</si>
  <si>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</si>
  <si>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</si>
  <si>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</si>
  <si>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</si>
  <si>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</si>
  <si>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</si>
  <si>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</si>
  <si>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</si>
  <si>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</si>
  <si>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</si>
  <si>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</si>
  <si>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</si>
  <si>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</si>
  <si>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</si>
  <si>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</si>
  <si>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</si>
  <si>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</si>
  <si>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</si>
  <si>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</si>
  <si>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</si>
  <si>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</si>
  <si>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</si>
  <si>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</si>
  <si>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</si>
  <si>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</si>
  <si>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</si>
  <si>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</si>
  <si>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</si>
  <si>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</si>
  <si>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</si>
  <si>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</si>
  <si>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</si>
  <si>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</si>
  <si>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</si>
  <si>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</si>
  <si>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</si>
  <si>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</si>
  <si>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</si>
  <si>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</si>
  <si>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</si>
  <si>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</si>
  <si>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</si>
  <si>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</si>
  <si>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</si>
  <si>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</si>
  <si>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</si>
  <si>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</si>
  <si>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</si>
  <si>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</si>
  <si>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</si>
  <si>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</si>
  <si>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</si>
  <si>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</si>
  <si>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</si>
  <si>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</si>
  <si>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</si>
  <si>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</si>
  <si>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</si>
  <si>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</si>
  <si>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</si>
  <si>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</si>
  <si>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</si>
  <si>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</si>
  <si>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</si>
  <si>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</si>
  <si>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</si>
  <si>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</si>
  <si>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</si>
  <si>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</si>
  <si>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</si>
  <si>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</si>
  <si>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</si>
  <si>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</si>
  <si>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</si>
  <si>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</si>
  <si>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</si>
  <si>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</si>
  <si>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</si>
  <si>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</si>
  <si>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</si>
  <si>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</si>
  <si>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</si>
  <si>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</si>
  <si>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</si>
  <si>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</si>
  <si>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</si>
  <si>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</si>
  <si>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</si>
  <si>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</si>
  <si>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</si>
  <si>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</si>
  <si>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</si>
  <si>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</si>
  <si>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</si>
  <si>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</si>
  <si>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</si>
  <si>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</si>
  <si>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</si>
  <si>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</si>
  <si>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</si>
  <si>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</si>
  <si>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</si>
  <si>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</si>
  <si>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</si>
  <si>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</si>
  <si>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</si>
  <si>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</si>
  <si>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</si>
  <si>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</si>
  <si>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</si>
  <si>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</si>
  <si>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</si>
  <si>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</si>
  <si>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</si>
  <si>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</si>
  <si>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</si>
  <si>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</si>
  <si>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</si>
  <si>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</si>
  <si>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</si>
  <si>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</si>
  <si>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</si>
  <si>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</si>
  <si>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</si>
  <si>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</si>
  <si>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</si>
  <si>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</si>
  <si>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</si>
  <si>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</si>
  <si>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</si>
  <si>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</si>
  <si>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</si>
  <si>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</si>
  <si>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</si>
  <si>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</si>
  <si>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</si>
  <si>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</si>
  <si>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</si>
  <si>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</si>
  <si>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</si>
  <si>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</si>
  <si>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</si>
  <si>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</si>
  <si>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</si>
  <si>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</si>
  <si>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</si>
  <si>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</si>
  <si>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</si>
  <si>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</si>
  <si>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</si>
  <si>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</si>
  <si>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</si>
  <si>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</si>
  <si>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</si>
  <si>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</si>
  <si>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</si>
  <si>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</si>
  <si>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</si>
  <si>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</si>
  <si>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</si>
  <si>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</si>
  <si>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</si>
  <si>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</si>
  <si>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</si>
  <si>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</si>
  <si>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</si>
  <si>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</si>
  <si>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</si>
  <si>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</si>
  <si>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</si>
  <si>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</si>
  <si>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</si>
  <si>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</si>
  <si>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</si>
  <si>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</si>
  <si>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</si>
  <si>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</si>
  <si>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</si>
  <si>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</si>
  <si>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</si>
  <si>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</si>
  <si>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</si>
  <si>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</si>
  <si>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</si>
  <si>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</si>
  <si>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</si>
  <si>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</si>
  <si>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</si>
  <si>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</si>
  <si>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</si>
  <si>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</si>
  <si>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</si>
  <si>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</si>
  <si>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</si>
  <si>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</si>
  <si>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</si>
  <si>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</si>
  <si>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</si>
  <si>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</si>
  <si>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</si>
  <si>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</si>
  <si>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</si>
  <si>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</si>
  <si>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</si>
  <si>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</si>
  <si>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</si>
  <si>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</si>
  <si>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</si>
  <si>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</si>
  <si>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</si>
  <si>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</si>
  <si>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</si>
  <si>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</si>
  <si>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</si>
  <si>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</si>
  <si>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</si>
  <si>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</si>
  <si>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</si>
  <si>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</si>
  <si>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</si>
  <si>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</si>
  <si>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</si>
  <si>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</si>
  <si>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</si>
  <si>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</si>
  <si>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</si>
  <si>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</si>
  <si>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</si>
  <si>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</si>
  <si>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</si>
  <si>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</si>
  <si>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</si>
  <si>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</si>
  <si>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</si>
  <si>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</si>
  <si>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</si>
  <si>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</si>
  <si>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</si>
  <si>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</si>
  <si>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</si>
  <si>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</si>
  <si>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</si>
  <si>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</si>
  <si>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</si>
  <si>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</si>
  <si>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</si>
  <si>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</si>
  <si>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</si>
  <si>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</si>
  <si>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</si>
  <si>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</si>
  <si>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</si>
  <si>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</si>
  <si>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</si>
  <si>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</si>
  <si>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</si>
  <si>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</si>
  <si>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</si>
  <si>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</si>
  <si>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</si>
  <si>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</si>
  <si>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</si>
  <si>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</si>
  <si>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</si>
  <si>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</si>
  <si>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</si>
  <si>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</si>
  <si>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</si>
  <si>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</si>
  <si>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</si>
  <si>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</si>
  <si>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</si>
  <si>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</si>
  <si>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</si>
  <si>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</si>
  <si>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</si>
  <si>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</si>
  <si>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</si>
  <si>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</si>
  <si>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</si>
  <si>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</si>
  <si>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</si>
  <si>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</si>
  <si>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</si>
  <si>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</si>
  <si>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</si>
  <si>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</si>
  <si>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</si>
  <si>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</si>
  <si>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</si>
  <si>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</si>
  <si>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</si>
  <si>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</si>
  <si>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</si>
  <si>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</si>
  <si>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</si>
  <si>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</si>
  <si>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</si>
  <si>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</si>
  <si>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</si>
  <si>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</si>
  <si>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</si>
  <si>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</si>
  <si>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</si>
  <si>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</si>
  <si>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</si>
  <si>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</si>
  <si>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</si>
  <si>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</si>
  <si>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</si>
  <si>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</si>
  <si>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</si>
  <si>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</si>
  <si>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</si>
  <si>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</si>
  <si>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</si>
  <si>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</si>
  <si>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</si>
  <si>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</si>
  <si>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</si>
  <si>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</si>
  <si>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</si>
  <si>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</si>
  <si>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</si>
  <si>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</si>
  <si>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</si>
  <si>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</si>
  <si>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</si>
  <si>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</si>
  <si>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</si>
  <si>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</si>
  <si>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</si>
  <si>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</si>
  <si>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</si>
  <si>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</si>
  <si>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</si>
  <si>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</si>
  <si>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</si>
  <si>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</si>
  <si>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</si>
  <si>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</si>
  <si>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</si>
  <si>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</si>
  <si>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</si>
  <si>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</si>
  <si>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</si>
  <si>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</si>
  <si>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</si>
  <si>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</si>
  <si>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</si>
  <si>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</si>
  <si>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</si>
  <si>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</si>
  <si>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</si>
  <si>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</si>
  <si>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</si>
  <si>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</si>
  <si>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</si>
  <si>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</si>
  <si>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</si>
  <si>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</si>
  <si>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</si>
  <si>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</si>
  <si>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</si>
  <si>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</si>
  <si>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</si>
  <si>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</si>
  <si>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</si>
  <si>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</si>
  <si>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</si>
  <si>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</si>
  <si>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</si>
  <si>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</si>
  <si>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</si>
  <si>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</si>
  <si>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</si>
  <si>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</si>
  <si>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</si>
  <si>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</si>
  <si>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</si>
  <si>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</si>
  <si>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</si>
  <si>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</si>
  <si>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</si>
  <si>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</si>
  <si>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</si>
  <si>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</si>
  <si>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</si>
  <si>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</si>
  <si>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</si>
  <si>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</si>
  <si>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</si>
  <si>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</si>
  <si>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</si>
  <si>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</si>
  <si>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</si>
  <si>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</si>
  <si>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</si>
  <si>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</si>
  <si>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</si>
  <si>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</si>
  <si>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</si>
  <si>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</si>
  <si>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</si>
  <si>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</si>
  <si>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</si>
  <si>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</si>
  <si>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</si>
  <si>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</si>
  <si>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</si>
  <si>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</si>
  <si>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</si>
  <si>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</si>
  <si>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</si>
  <si>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</si>
  <si>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</si>
  <si>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</si>
  <si>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</si>
  <si>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</si>
  <si>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</si>
  <si>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</si>
  <si>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</si>
  <si>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</si>
  <si>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</si>
  <si>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</si>
  <si>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</si>
  <si>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</si>
  <si>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</si>
  <si>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</si>
  <si>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</si>
  <si>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</si>
  <si>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</si>
  <si>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</si>
  <si>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</si>
  <si>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</si>
  <si>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</si>
  <si>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</si>
  <si>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</si>
  <si>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</si>
  <si>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</si>
  <si>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</si>
  <si>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</si>
  <si>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</si>
  <si>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</si>
  <si>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</si>
  <si>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</si>
  <si>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</si>
  <si>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</si>
  <si>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</si>
  <si>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</si>
  <si>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</si>
  <si>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</si>
  <si>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</si>
  <si>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</si>
  <si>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</si>
  <si>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</si>
  <si>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</si>
  <si>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</si>
  <si>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</si>
  <si>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</si>
  <si>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</si>
  <si>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</si>
  <si>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</si>
  <si>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</si>
  <si>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</si>
  <si>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</si>
  <si>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</si>
  <si>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</si>
  <si>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</si>
  <si>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</si>
  <si>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</si>
  <si>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</si>
  <si>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</si>
  <si>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</si>
  <si>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</si>
  <si>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</si>
  <si>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</si>
  <si>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</si>
  <si>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</si>
  <si>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</si>
  <si>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</si>
  <si>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</si>
  <si>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</si>
  <si>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</si>
  <si>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</si>
  <si>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</si>
  <si>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</si>
  <si>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</si>
  <si>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</si>
  <si>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</si>
  <si>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</si>
  <si>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</si>
  <si>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</si>
  <si>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</si>
  <si>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</si>
  <si>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</si>
  <si>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</si>
  <si>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</si>
  <si>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</si>
  <si>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</si>
  <si>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</si>
  <si>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</si>
  <si>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</si>
  <si>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</si>
  <si>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</si>
  <si>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</si>
  <si>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</si>
  <si>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</si>
  <si>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</si>
  <si>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</si>
  <si>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</si>
  <si>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</si>
  <si>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</si>
  <si>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</si>
  <si>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</si>
  <si>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</si>
  <si>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</si>
  <si>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</si>
  <si>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</si>
  <si>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</si>
  <si>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</si>
  <si>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</si>
  <si>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</si>
  <si>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</si>
  <si>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</si>
  <si>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</si>
  <si>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</si>
  <si>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</si>
  <si>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</si>
  <si>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</si>
  <si>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</si>
  <si>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</si>
  <si>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</si>
  <si>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</si>
  <si>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</si>
  <si>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</si>
  <si>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</si>
  <si>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</si>
  <si>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</si>
  <si>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</si>
  <si>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</si>
  <si>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</si>
  <si>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</si>
  <si>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</si>
  <si>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</si>
  <si>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</si>
  <si>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</si>
  <si>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</si>
  <si>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</si>
  <si>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</si>
  <si>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</si>
  <si>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</si>
  <si>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</si>
  <si>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</si>
  <si>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</si>
  <si>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</si>
  <si>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</si>
  <si>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</si>
  <si>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</si>
  <si>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</si>
  <si>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</si>
  <si>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</si>
  <si>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</si>
  <si>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</si>
  <si>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</si>
  <si>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</si>
  <si>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</si>
  <si>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</si>
  <si>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</si>
  <si>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</si>
  <si>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</si>
  <si>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</si>
  <si>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</si>
  <si>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</si>
  <si>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</si>
  <si>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</si>
  <si>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</si>
  <si>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</si>
  <si>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</si>
  <si>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</si>
  <si>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</si>
  <si>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</si>
  <si>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</si>
  <si>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</si>
  <si>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</si>
  <si>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</si>
  <si>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</si>
  <si>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</si>
  <si>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</si>
  <si>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</si>
  <si>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</si>
  <si>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</si>
  <si>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</si>
  <si>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</si>
  <si>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</si>
  <si>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</si>
  <si>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</si>
  <si>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</si>
  <si>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</si>
  <si>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</si>
  <si>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</si>
  <si>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</si>
  <si>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</si>
  <si>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</si>
  <si>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</si>
  <si>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</si>
  <si>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</si>
  <si>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</si>
  <si>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</si>
  <si>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</si>
  <si>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</si>
  <si>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</si>
  <si>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</si>
  <si>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</si>
  <si>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</si>
  <si>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</si>
  <si>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</si>
  <si>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</si>
  <si>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</si>
  <si>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</si>
  <si>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</si>
  <si>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</si>
  <si>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</si>
  <si>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</si>
  <si>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</si>
  <si>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</si>
  <si>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</si>
  <si>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</si>
  <si>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</si>
  <si>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</si>
  <si>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</si>
  <si>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</si>
  <si>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</si>
  <si>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</si>
  <si>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</si>
  <si>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</si>
  <si>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</si>
  <si>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</si>
  <si>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</si>
  <si>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</si>
  <si>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</si>
  <si>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</si>
  <si>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</si>
  <si>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</si>
  <si>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</si>
  <si>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</si>
  <si>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</si>
  <si>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</si>
  <si>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</si>
  <si>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</si>
  <si>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</si>
  <si>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</si>
  <si>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</si>
  <si>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</si>
  <si>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</si>
  <si>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</si>
  <si>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</si>
  <si>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</si>
  <si>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</si>
  <si>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</si>
  <si>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</si>
  <si>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</si>
  <si>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</si>
  <si>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</si>
  <si>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</si>
  <si>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</si>
  <si>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</si>
  <si>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</si>
  <si>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</si>
  <si>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</si>
  <si>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</si>
  <si>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</si>
  <si>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</si>
  <si>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</si>
  <si>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</si>
  <si>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</si>
  <si>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</si>
  <si>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</si>
  <si>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</si>
  <si>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</si>
  <si>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</si>
  <si>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</si>
  <si>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</si>
  <si>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</si>
  <si>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</si>
  <si>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</si>
  <si>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</si>
  <si>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</si>
  <si>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</si>
  <si>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</si>
  <si>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</si>
  <si>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</si>
  <si>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</si>
  <si>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</si>
  <si>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</si>
  <si>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</si>
  <si>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</si>
  <si>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</si>
  <si>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</si>
  <si>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</si>
  <si>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</si>
  <si>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</si>
  <si>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</si>
  <si>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</si>
  <si>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</si>
  <si>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</si>
  <si>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</si>
  <si>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</si>
  <si>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</si>
  <si>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</si>
  <si>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</si>
  <si>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</si>
  <si>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</si>
  <si>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</si>
  <si>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</si>
  <si>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</si>
  <si>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</si>
  <si>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</si>
  <si>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</si>
  <si>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</si>
  <si>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</si>
  <si>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</si>
  <si>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</si>
  <si>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</si>
  <si>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</si>
  <si>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</si>
  <si>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</si>
  <si>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</si>
  <si>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</si>
  <si>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</si>
  <si>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</si>
  <si>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</si>
  <si>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</si>
  <si>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</si>
  <si>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</si>
  <si>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</si>
  <si>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</si>
  <si>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</si>
  <si>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</si>
  <si>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</si>
  <si>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</si>
  <si>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</si>
  <si>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</si>
  <si>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</si>
  <si>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</si>
  <si>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</si>
  <si>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</si>
  <si>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</si>
  <si>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</si>
  <si>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</si>
  <si>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</si>
  <si>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</si>
  <si>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</si>
  <si>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</si>
  <si>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</si>
  <si>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</si>
  <si>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</si>
  <si>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</si>
  <si>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</si>
  <si>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</si>
  <si>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</si>
  <si>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</si>
  <si>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</si>
  <si>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</si>
  <si>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</si>
  <si>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</si>
  <si>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</si>
  <si>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</si>
  <si>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</si>
  <si>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</si>
  <si>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</si>
  <si>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</si>
  <si>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</si>
  <si>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</si>
  <si>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</si>
  <si>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</si>
  <si>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</si>
  <si>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</si>
  <si>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</si>
  <si>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</si>
  <si>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</si>
  <si>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</si>
  <si>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</si>
  <si>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</si>
  <si>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</si>
  <si>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</si>
  <si>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</si>
  <si>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</si>
  <si>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</si>
  <si>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</si>
  <si>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</si>
  <si>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</si>
  <si>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</si>
  <si>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</si>
  <si>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</si>
  <si>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</si>
  <si>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</si>
  <si>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</si>
  <si>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</si>
  <si>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</si>
  <si>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</si>
  <si>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</si>
  <si>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</si>
  <si>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</si>
  <si>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</si>
  <si>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</si>
  <si>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</si>
  <si>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</si>
  <si>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</si>
  <si>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</si>
  <si>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</si>
  <si>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</si>
  <si>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</si>
  <si>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</si>
  <si>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</si>
  <si>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</si>
  <si>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</si>
  <si>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</si>
  <si>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</si>
  <si>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</si>
  <si>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</si>
  <si>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</si>
  <si>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</si>
  <si>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</si>
  <si>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</si>
  <si>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</si>
  <si>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</si>
  <si>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</si>
  <si>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</si>
  <si>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</si>
  <si>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</si>
  <si>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</si>
  <si>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</si>
  <si>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</si>
  <si>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</si>
  <si>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</si>
  <si>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</si>
  <si>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</si>
  <si>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</si>
  <si>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</si>
  <si>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</si>
  <si>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</si>
  <si>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</si>
  <si>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</si>
  <si>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</si>
  <si>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</si>
  <si>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</si>
  <si>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</si>
  <si>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</si>
  <si>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</si>
  <si>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</si>
  <si>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</si>
  <si>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</si>
  <si>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</si>
  <si>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</si>
  <si>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</si>
  <si>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</si>
  <si>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</si>
  <si>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</si>
  <si>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</si>
  <si>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</si>
  <si>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</si>
  <si>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</si>
  <si>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</si>
  <si>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</si>
  <si>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</si>
  <si>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</si>
  <si>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</si>
  <si>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</si>
  <si>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</si>
  <si>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</si>
  <si>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</si>
  <si>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</si>
  <si>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</si>
  <si>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</si>
  <si>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</si>
  <si>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</si>
  <si>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</si>
  <si>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</si>
  <si>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</si>
  <si>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</si>
  <si>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</si>
  <si>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</si>
  <si>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</si>
  <si>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</si>
  <si>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</si>
  <si>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</si>
  <si>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</si>
  <si>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</si>
  <si>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</si>
  <si>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</si>
  <si>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</si>
  <si>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</si>
  <si>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</si>
  <si>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</si>
  <si>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</si>
  <si>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</si>
  <si>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</si>
  <si>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</si>
  <si>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</si>
  <si>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</si>
  <si>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</si>
  <si>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</si>
  <si>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</si>
  <si>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</si>
  <si>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</si>
  <si>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</si>
  <si>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</si>
  <si>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</si>
  <si>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</si>
  <si>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</si>
  <si>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</si>
  <si>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</si>
  <si>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</si>
  <si>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</si>
  <si>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</si>
  <si>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</si>
  <si>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</si>
  <si>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</si>
  <si>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</si>
  <si>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</si>
  <si>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</si>
  <si>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</si>
  <si>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</si>
  <si>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</si>
  <si>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</si>
  <si>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</si>
  <si>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</si>
  <si>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</si>
  <si>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</si>
  <si>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</si>
  <si>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</si>
  <si>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</si>
  <si>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</si>
  <si>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</si>
  <si>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</si>
  <si>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</si>
  <si>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</si>
  <si>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</si>
  <si>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</si>
  <si>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</si>
  <si>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</si>
  <si>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</si>
  <si>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</si>
  <si>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</si>
  <si>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</si>
  <si>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</si>
  <si>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</si>
  <si>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</si>
  <si>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</si>
  <si>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</si>
  <si>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</si>
  <si>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</si>
  <si>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</si>
  <si>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</si>
  <si>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</si>
  <si>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</si>
  <si>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</si>
  <si>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</si>
  <si>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</si>
  <si>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</si>
  <si>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</si>
  <si>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</si>
  <si>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</si>
  <si>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</si>
  <si>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</si>
  <si>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</si>
  <si>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</si>
  <si>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</si>
  <si>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</si>
  <si>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</si>
  <si>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</si>
  <si>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</si>
  <si>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</si>
  <si>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</si>
  <si>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</si>
  <si>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</si>
  <si>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</si>
  <si>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</si>
  <si>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</si>
  <si>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</si>
  <si>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</si>
  <si>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</si>
  <si>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</si>
  <si>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</si>
  <si>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</si>
  <si>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</si>
  <si>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</si>
  <si>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</si>
  <si>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</si>
  <si>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</si>
  <si>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</si>
  <si>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</si>
  <si>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</si>
  <si>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</si>
  <si>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</si>
  <si>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</si>
  <si>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</si>
  <si>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</si>
  <si>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</si>
  <si>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</si>
  <si>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</si>
  <si>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</si>
  <si>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</si>
  <si>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</si>
  <si>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</si>
  <si>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</si>
  <si>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</si>
  <si>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</si>
  <si>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</si>
  <si>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</si>
  <si>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</si>
  <si>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</si>
  <si>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</si>
  <si>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</si>
  <si>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</si>
  <si>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</si>
  <si>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</si>
  <si>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</si>
  <si>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</si>
  <si>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</si>
  <si>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</si>
  <si>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</si>
  <si>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</si>
  <si>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</si>
  <si>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</si>
  <si>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</si>
  <si>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</si>
  <si>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</si>
  <si>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</si>
  <si>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</si>
  <si>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</si>
  <si>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</si>
  <si>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</si>
  <si>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</si>
  <si>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</si>
  <si>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</si>
  <si>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</si>
  <si>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</si>
  <si>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</si>
  <si>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</si>
  <si>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</si>
  <si>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</si>
  <si>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</si>
  <si>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</si>
  <si>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</si>
  <si>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</si>
  <si>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</si>
  <si>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</si>
  <si>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</si>
  <si>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</si>
  <si>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</si>
  <si>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</si>
  <si>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</si>
  <si>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</si>
  <si>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</si>
  <si>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</si>
  <si>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</si>
  <si>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</si>
  <si>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</si>
  <si>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</si>
  <si>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</si>
  <si>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</si>
  <si>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</si>
  <si>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</si>
  <si>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</si>
  <si>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</si>
  <si>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</si>
  <si>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</si>
  <si>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</si>
  <si>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</si>
  <si>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</si>
  <si>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</si>
  <si>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</si>
  <si>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</si>
  <si>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</si>
  <si>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</si>
  <si>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</si>
  <si>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</si>
  <si>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</si>
  <si>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</si>
  <si>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</si>
  <si>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</si>
  <si>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</si>
  <si>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</si>
  <si>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</si>
  <si>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</si>
  <si>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</si>
  <si>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</si>
  <si>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</si>
  <si>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</si>
  <si>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</si>
  <si>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</si>
  <si>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</si>
  <si>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</si>
  <si>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</si>
  <si>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</si>
  <si>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</si>
  <si>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</si>
  <si>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</si>
  <si>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</si>
  <si>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</si>
  <si>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</si>
  <si>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</si>
  <si>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</si>
  <si>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</si>
  <si>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</si>
  <si>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</si>
  <si>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</si>
  <si>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</si>
  <si>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</si>
  <si>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</si>
  <si>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</si>
  <si>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</si>
  <si>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</si>
  <si>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</si>
  <si>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</si>
  <si>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</si>
  <si>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</si>
  <si>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</si>
  <si>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</si>
  <si>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</si>
  <si>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</si>
  <si>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</si>
  <si>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</si>
  <si>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</si>
  <si>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</si>
  <si>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</si>
  <si>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</si>
  <si>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</si>
  <si>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</si>
  <si>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</si>
  <si>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</si>
  <si>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</si>
  <si>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</si>
  <si>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</si>
  <si>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</si>
  <si>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</si>
  <si>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</si>
  <si>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</si>
  <si>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</si>
  <si>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</si>
  <si>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</si>
  <si>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</si>
  <si>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</si>
  <si>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</si>
  <si>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</si>
  <si>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</si>
  <si>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</si>
  <si>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</si>
  <si>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</si>
  <si>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</si>
  <si>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</si>
  <si>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</si>
  <si>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</si>
  <si>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</si>
  <si>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</si>
  <si>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</si>
  <si>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</si>
  <si>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</si>
  <si>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</si>
  <si>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</si>
  <si>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</si>
  <si>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</si>
  <si>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</si>
  <si>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</si>
  <si>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</si>
  <si>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</si>
  <si>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</si>
  <si>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</si>
  <si>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</si>
  <si>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</si>
  <si>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</si>
  <si>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</si>
  <si>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</si>
  <si>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</si>
  <si>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</si>
  <si>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</si>
  <si>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</si>
  <si>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</si>
  <si>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</si>
  <si>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</si>
  <si>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</si>
  <si>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</si>
  <si>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</si>
  <si>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</si>
  <si>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</si>
  <si>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</si>
  <si>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</si>
  <si>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</si>
  <si>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</si>
  <si>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</si>
  <si>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</si>
  <si>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</si>
  <si>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</si>
  <si>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</si>
  <si>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</si>
  <si>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</si>
  <si>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</si>
  <si>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</si>
  <si>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</si>
  <si>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</si>
  <si>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</si>
  <si>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</si>
  <si>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</si>
  <si>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</si>
  <si>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</si>
  <si>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</si>
  <si>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</si>
  <si>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</si>
  <si>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</si>
  <si>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</si>
  <si>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</si>
  <si>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</si>
  <si>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</si>
  <si>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</si>
  <si>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</si>
  <si>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</si>
  <si>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</si>
  <si>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</si>
  <si>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</si>
  <si>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</si>
  <si>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</si>
  <si>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</si>
  <si>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</si>
  <si>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</si>
  <si>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</si>
  <si>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</si>
  <si>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</si>
  <si>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</si>
  <si>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</si>
  <si>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</si>
  <si>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</si>
  <si>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</si>
  <si>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</si>
  <si>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</si>
  <si>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</si>
  <si>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</si>
  <si>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</si>
  <si>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</si>
  <si>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</si>
  <si>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</si>
  <si>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</si>
  <si>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</si>
  <si>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</si>
  <si>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</si>
  <si>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</si>
  <si>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</si>
  <si>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</si>
  <si>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</si>
  <si>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</si>
  <si>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</si>
  <si>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</si>
  <si>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</si>
  <si>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</si>
  <si>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</si>
  <si>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</si>
  <si>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</si>
  <si>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</si>
  <si>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</si>
  <si>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</si>
  <si>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</si>
  <si>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</si>
  <si>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</si>
  <si>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</si>
  <si>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</si>
  <si>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</si>
  <si>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</si>
  <si>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</si>
  <si>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</si>
  <si>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</si>
  <si>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</si>
  <si>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</si>
  <si>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</si>
  <si>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</si>
  <si>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</si>
  <si>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</si>
  <si>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</si>
  <si>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</si>
  <si>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</si>
  <si>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</si>
  <si>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</si>
  <si>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</si>
  <si>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</si>
  <si>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</si>
  <si>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</si>
  <si>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</si>
  <si>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</si>
  <si>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</si>
  <si>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</si>
  <si>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</si>
  <si>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</si>
  <si>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</si>
  <si>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</si>
  <si>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</si>
  <si>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</si>
  <si>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</si>
  <si>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</si>
  <si>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</si>
  <si>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</si>
  <si>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</si>
  <si>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</si>
  <si>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</si>
  <si>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</si>
  <si>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</si>
  <si>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</si>
  <si>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</si>
  <si>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</si>
  <si>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</si>
  <si>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</si>
  <si>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</si>
  <si>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</si>
  <si>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</si>
  <si>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</si>
  <si>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</si>
  <si>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</si>
  <si>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</si>
  <si>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</si>
  <si>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</si>
  <si>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</si>
  <si>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</si>
  <si>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</si>
  <si>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</si>
  <si>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</si>
  <si>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</si>
  <si>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</si>
  <si>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</si>
  <si>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</si>
  <si>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</si>
  <si>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</si>
  <si>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</si>
  <si>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</si>
  <si>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</si>
  <si>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</si>
  <si>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</si>
  <si>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</si>
  <si>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</si>
  <si>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</si>
  <si>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</si>
  <si>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</si>
  <si>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</si>
  <si>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</si>
  <si>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</si>
  <si>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</si>
  <si>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</si>
  <si>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</si>
  <si>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</si>
  <si>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</si>
  <si>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</si>
  <si>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</si>
  <si>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</si>
  <si>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</si>
  <si>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</si>
  <si>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</si>
  <si>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</si>
  <si>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</si>
  <si>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</si>
  <si>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</si>
  <si>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</si>
  <si>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</si>
  <si>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</si>
  <si>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</si>
  <si>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</si>
  <si>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</si>
  <si>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</si>
  <si>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</si>
  <si>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</si>
  <si>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</si>
  <si>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</si>
  <si>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</si>
  <si>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</si>
  <si>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</si>
  <si>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</si>
  <si>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</si>
  <si>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</si>
  <si>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</si>
  <si>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</si>
  <si>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</si>
  <si>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</si>
  <si>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</si>
  <si>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</si>
  <si>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</si>
  <si>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</si>
  <si>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</si>
  <si>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</si>
  <si>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</si>
  <si>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</si>
  <si>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</si>
  <si>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</si>
  <si>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</si>
  <si>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</si>
  <si>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</si>
  <si>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</si>
  <si>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</si>
  <si>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</si>
  <si>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</si>
  <si>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</si>
  <si>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</si>
  <si>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</si>
  <si>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</si>
  <si>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</si>
  <si>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</si>
  <si>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</si>
  <si>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</si>
  <si>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</si>
  <si>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</si>
  <si>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</si>
  <si>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</si>
  <si>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</si>
  <si>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</si>
  <si>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</si>
  <si>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</si>
  <si>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</si>
  <si>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</si>
  <si>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</si>
  <si>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</si>
  <si>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</si>
  <si>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</si>
  <si>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</si>
  <si>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</si>
  <si>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</si>
  <si>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</si>
  <si>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</si>
  <si>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</si>
  <si>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</si>
  <si>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</si>
  <si>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</si>
  <si>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</si>
  <si>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</si>
  <si>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</si>
  <si>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</si>
  <si>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</si>
  <si>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</si>
  <si>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</si>
  <si>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</si>
  <si>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</si>
  <si>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</si>
  <si>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</si>
  <si>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</si>
  <si>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</si>
  <si>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</si>
  <si>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</si>
  <si>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</si>
  <si>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</si>
  <si>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</si>
  <si>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</si>
  <si>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</si>
  <si>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</si>
  <si>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</si>
  <si>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</si>
  <si>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</si>
  <si>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</si>
  <si>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</si>
  <si>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</si>
  <si>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</si>
  <si>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</si>
  <si>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</si>
  <si>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</si>
  <si>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</si>
  <si>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</si>
  <si>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</si>
  <si>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</si>
  <si>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</si>
  <si>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</si>
  <si>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</si>
  <si>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</si>
  <si>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</si>
  <si>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</si>
  <si>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</si>
  <si>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</si>
  <si>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</si>
  <si>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</si>
  <si>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</si>
  <si>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</si>
  <si>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</si>
  <si>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</si>
  <si>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</si>
  <si>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</si>
  <si>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</si>
  <si>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</si>
  <si>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</si>
  <si>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</si>
  <si>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</si>
  <si>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</si>
  <si>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</si>
  <si>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</si>
  <si>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</si>
  <si>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</si>
  <si>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</si>
  <si>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</si>
  <si>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</si>
  <si>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</si>
  <si>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</si>
  <si>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</si>
  <si>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</si>
  <si>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</si>
  <si>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</si>
  <si>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</si>
  <si>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</si>
  <si>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</si>
  <si>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</si>
  <si>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</si>
  <si>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</si>
  <si>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</si>
  <si>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</si>
  <si>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</si>
  <si>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</si>
  <si>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</si>
  <si>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</si>
  <si>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</si>
  <si>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</si>
  <si>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</si>
  <si>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</si>
  <si>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</si>
  <si>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</si>
  <si>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</si>
  <si>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</si>
  <si>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</si>
  <si>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</si>
  <si>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</si>
  <si>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</si>
  <si>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</si>
  <si>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</si>
  <si>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</si>
  <si>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</si>
  <si>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</si>
  <si>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</si>
  <si>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</si>
  <si>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</si>
  <si>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</si>
  <si>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</si>
  <si>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</si>
  <si>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</si>
  <si>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</si>
  <si>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</si>
  <si>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</si>
  <si>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</si>
  <si>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</si>
  <si>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</si>
  <si>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</si>
  <si>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</si>
  <si>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</si>
  <si>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</si>
  <si>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</si>
  <si>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</si>
  <si>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</si>
  <si>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</si>
  <si>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</si>
  <si>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</si>
  <si>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</si>
  <si>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</si>
  <si>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</si>
  <si>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</si>
  <si>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</si>
  <si>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</si>
  <si>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</si>
  <si>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</si>
  <si>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</si>
  <si>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</si>
  <si>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</si>
  <si>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</si>
  <si>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</si>
  <si>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</si>
  <si>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</si>
  <si>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</si>
  <si>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</si>
  <si>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</si>
  <si>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</si>
  <si>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</si>
  <si>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</si>
  <si>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</si>
  <si>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</si>
  <si>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</si>
  <si>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</si>
  <si>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</si>
  <si>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</si>
  <si>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</si>
  <si>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</si>
  <si>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</si>
  <si>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</si>
  <si>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</si>
  <si>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</si>
  <si>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</si>
  <si>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</si>
  <si>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</si>
  <si>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</si>
  <si>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</si>
  <si>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</si>
  <si>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</si>
  <si>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</si>
  <si>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</si>
  <si>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</si>
  <si>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</si>
  <si>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</si>
  <si>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</si>
  <si>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</si>
  <si>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</si>
  <si>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</si>
  <si>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</si>
  <si>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</si>
  <si>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</si>
  <si>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</si>
  <si>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</si>
  <si>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</si>
  <si>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</si>
  <si>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</si>
  <si>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</si>
  <si>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</si>
  <si>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</si>
  <si>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</si>
  <si>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</si>
  <si>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</si>
  <si>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</si>
  <si>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</si>
  <si>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</si>
  <si>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</si>
  <si>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</si>
  <si>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</si>
  <si>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</si>
  <si>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</si>
  <si>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</si>
  <si>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</si>
  <si>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</si>
  <si>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</si>
  <si>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</si>
  <si>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</si>
  <si>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</si>
  <si>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</si>
  <si>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</si>
  <si>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</si>
  <si>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</si>
  <si>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</si>
  <si>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</si>
  <si>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</si>
  <si>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</si>
  <si>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</si>
  <si>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</si>
  <si>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</si>
  <si>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</si>
  <si>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</si>
  <si>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</si>
  <si>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</si>
  <si>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</si>
  <si>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</si>
  <si>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</si>
  <si>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</si>
  <si>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</si>
  <si>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</si>
  <si>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</si>
  <si>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</si>
  <si>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</si>
  <si>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</si>
  <si>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</si>
  <si>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</si>
  <si>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</si>
  <si>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</si>
  <si>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</si>
  <si>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</si>
  <si>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</si>
  <si>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</si>
  <si>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</si>
  <si>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</si>
  <si>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</si>
  <si>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</si>
  <si>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</si>
  <si>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</si>
  <si>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</si>
  <si>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</si>
  <si>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</si>
  <si>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</si>
  <si>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</si>
  <si>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</si>
  <si>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</si>
  <si>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</si>
  <si>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</si>
  <si>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</si>
  <si>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</si>
  <si>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</si>
  <si>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</si>
  <si>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</si>
  <si>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</si>
  <si>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</si>
  <si>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</si>
  <si>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</si>
  <si>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</si>
  <si>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</si>
  <si>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</si>
  <si>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</si>
  <si>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</si>
  <si>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</si>
  <si>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</si>
  <si>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</si>
  <si>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</si>
  <si>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</si>
  <si>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</si>
  <si>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</si>
  <si>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</si>
  <si>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</si>
  <si>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</si>
  <si>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</si>
  <si>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</si>
  <si>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</si>
  <si>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</si>
  <si>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</si>
  <si>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</si>
  <si>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</si>
  <si>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</si>
  <si>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</si>
  <si>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</si>
  <si>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</si>
  <si>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</si>
  <si>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</si>
  <si>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</si>
  <si>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</si>
  <si>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</si>
  <si>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</si>
  <si>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</si>
  <si>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</si>
  <si>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</si>
  <si>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</si>
  <si>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</si>
  <si>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</si>
  <si>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</si>
  <si>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</si>
  <si>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</si>
  <si>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</si>
  <si>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</si>
  <si>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</si>
  <si>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</si>
  <si>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</si>
  <si>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</si>
  <si>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</si>
  <si>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</si>
  <si>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</si>
  <si>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</si>
  <si>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</si>
  <si>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</si>
  <si>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</si>
  <si>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</si>
  <si>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</si>
  <si>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</si>
  <si>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</si>
  <si>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</si>
  <si>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</si>
  <si>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</si>
  <si>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</si>
  <si>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</si>
  <si>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</si>
  <si>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</si>
  <si>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</si>
  <si>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</si>
  <si>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</si>
  <si>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</si>
  <si>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</si>
  <si>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</si>
  <si>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</si>
  <si>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</si>
  <si>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</si>
  <si>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</si>
  <si>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</si>
  <si>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</si>
  <si>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</si>
  <si>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</si>
  <si>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</si>
  <si>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</si>
  <si>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</si>
  <si>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</si>
  <si>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</si>
  <si>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</si>
  <si>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</si>
  <si>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</si>
  <si>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</si>
  <si>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</si>
  <si>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</si>
  <si>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</si>
  <si>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</si>
  <si>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</si>
  <si>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</si>
  <si>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</si>
  <si>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</si>
  <si>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</si>
  <si>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</si>
  <si>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</si>
  <si>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</si>
  <si>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</si>
  <si>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</si>
  <si>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</si>
  <si>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</si>
  <si>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</si>
  <si>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</si>
  <si>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</si>
  <si>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</si>
  <si>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</si>
  <si>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</si>
  <si>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</si>
  <si>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</si>
  <si>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</si>
  <si>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</si>
  <si>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</si>
  <si>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</si>
  <si>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</si>
  <si>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</si>
  <si>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</si>
  <si>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</si>
  <si>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</si>
  <si>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</si>
  <si>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</si>
  <si>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</si>
  <si>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</si>
  <si>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</si>
  <si>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</si>
  <si>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</si>
  <si>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</si>
  <si>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</si>
  <si>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</si>
  <si>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</si>
  <si>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</si>
  <si>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</si>
  <si>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</si>
  <si>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</si>
  <si>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</si>
  <si>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</si>
  <si>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</si>
  <si>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</si>
  <si>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</si>
  <si>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</si>
  <si>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</si>
  <si>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</si>
  <si>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</si>
  <si>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</si>
  <si>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</si>
  <si>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</si>
  <si>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</si>
  <si>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</si>
  <si>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</si>
  <si>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</si>
  <si>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</si>
  <si>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</si>
  <si>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</si>
  <si>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</si>
  <si>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</si>
  <si>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</si>
  <si>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</si>
  <si>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</si>
  <si>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</si>
  <si>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</si>
  <si>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</si>
  <si>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</si>
  <si>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</si>
  <si>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</si>
  <si>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</si>
  <si>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</si>
  <si>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</si>
  <si>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</si>
  <si>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</si>
  <si>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</si>
  <si>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</si>
  <si>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</si>
  <si>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</si>
  <si>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</si>
  <si>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</si>
  <si>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</si>
  <si>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</si>
  <si>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</si>
  <si>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</si>
  <si>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</si>
  <si>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</si>
  <si>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</si>
  <si>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</si>
  <si>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</si>
  <si>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</si>
  <si>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</si>
  <si>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</si>
  <si>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</si>
  <si>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</si>
  <si>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</si>
  <si>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</si>
  <si>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</si>
  <si>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</si>
  <si>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</si>
  <si>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</si>
  <si>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</si>
  <si>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</si>
  <si>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</si>
  <si>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</si>
  <si>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</si>
  <si>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</si>
  <si>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</si>
  <si>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</si>
  <si>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</si>
  <si>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</si>
  <si>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</si>
  <si>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</si>
  <si>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</si>
  <si>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</si>
  <si>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</si>
  <si>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</si>
  <si>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</si>
  <si>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</si>
  <si>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</si>
  <si>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</si>
  <si>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</si>
  <si>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</si>
  <si>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</si>
  <si>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</si>
  <si>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</si>
  <si>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</si>
  <si>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</si>
  <si>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</si>
  <si>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</si>
  <si>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</si>
  <si>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</si>
  <si>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</si>
  <si>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</si>
  <si>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</si>
  <si>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</si>
  <si>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</si>
  <si>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</si>
  <si>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</si>
  <si>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</si>
  <si>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</si>
  <si>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</si>
  <si>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</si>
  <si>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</si>
  <si>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</si>
  <si>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</si>
  <si>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</si>
  <si>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</si>
  <si>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</si>
  <si>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</si>
  <si>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</si>
  <si>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</si>
  <si>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</si>
  <si>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</si>
  <si>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</si>
  <si>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</si>
  <si>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</si>
  <si>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</si>
  <si>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</si>
  <si>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</si>
  <si>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</si>
  <si>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</si>
  <si>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</si>
  <si>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</si>
  <si>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</si>
  <si>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</si>
  <si>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</si>
  <si>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</si>
  <si>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</si>
  <si>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</si>
  <si>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</si>
  <si>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</si>
  <si>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</si>
  <si>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</si>
  <si>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</si>
  <si>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</si>
  <si>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</si>
  <si>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</si>
  <si>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</si>
  <si>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</si>
  <si>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</si>
  <si>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</si>
  <si>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</si>
  <si>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</si>
  <si>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</si>
  <si>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</si>
  <si>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</si>
  <si>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</si>
  <si>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</si>
  <si>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</si>
  <si>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</si>
  <si>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</si>
  <si>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</si>
  <si>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</si>
  <si>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</si>
  <si>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</si>
  <si>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</si>
  <si>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</si>
  <si>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</si>
  <si>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</si>
  <si>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</si>
  <si>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</si>
  <si>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</si>
  <si>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</si>
  <si>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</si>
  <si>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</si>
  <si>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</si>
  <si>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</si>
  <si>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</si>
  <si>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</si>
  <si>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</si>
  <si>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</si>
  <si>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</si>
  <si>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</si>
  <si>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</si>
  <si>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</si>
  <si>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</si>
  <si>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</si>
  <si>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</si>
  <si>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</si>
  <si>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</si>
  <si>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</si>
  <si>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</si>
  <si>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</si>
  <si>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</si>
  <si>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</si>
  <si>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</si>
  <si>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</si>
  <si>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</si>
  <si>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</si>
  <si>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</si>
  <si>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</si>
  <si>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</si>
  <si>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</si>
  <si>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</si>
  <si>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</si>
  <si>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</si>
  <si>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</si>
  <si>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</si>
  <si>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</si>
  <si>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</si>
  <si>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</si>
  <si>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</si>
  <si>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</si>
  <si>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</si>
  <si>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</si>
  <si>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</si>
  <si>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</si>
  <si>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</si>
  <si>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</si>
  <si>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</si>
  <si>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</si>
  <si>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</si>
  <si>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</si>
  <si>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</si>
  <si>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</si>
  <si>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</si>
  <si>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</si>
  <si>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</si>
  <si>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</si>
  <si>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</si>
  <si>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</si>
  <si>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</si>
  <si>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</si>
  <si>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</si>
  <si>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</si>
  <si>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</si>
  <si>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</si>
  <si>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</si>
  <si>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</si>
  <si>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</si>
  <si>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</si>
  <si>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</si>
  <si>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</si>
  <si>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</si>
  <si>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</si>
  <si>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</si>
  <si>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</si>
  <si>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</si>
  <si>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</si>
  <si>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</si>
  <si>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</si>
  <si>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</si>
  <si>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</si>
  <si>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</si>
  <si>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</si>
  <si>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</si>
  <si>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</si>
  <si>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</si>
  <si>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</si>
  <si>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</si>
  <si>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</si>
  <si>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</si>
  <si>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</si>
  <si>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</si>
  <si>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</si>
  <si>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</si>
  <si>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</si>
  <si>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</si>
  <si>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</si>
  <si>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</si>
  <si>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</si>
  <si>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</si>
  <si>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</si>
  <si>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</si>
  <si>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</si>
  <si>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</si>
  <si>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</si>
  <si>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</si>
  <si>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</si>
  <si>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</si>
  <si>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</si>
  <si>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</si>
  <si>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</si>
  <si>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</si>
  <si>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</si>
  <si>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</si>
  <si>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</si>
  <si>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</si>
  <si>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</si>
  <si>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</si>
  <si>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</si>
  <si>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</si>
  <si>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</si>
  <si>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</si>
  <si>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</si>
  <si>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</si>
  <si>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</si>
  <si>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</si>
  <si>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</si>
  <si>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</si>
  <si>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</si>
  <si>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</si>
  <si>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</si>
  <si>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</si>
  <si>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</si>
  <si>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</si>
  <si>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</si>
  <si>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</si>
  <si>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</si>
  <si>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</si>
  <si>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</si>
  <si>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</si>
  <si>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</si>
  <si>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</si>
  <si>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</si>
  <si>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</si>
  <si>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</si>
  <si>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</si>
  <si>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</si>
  <si>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</si>
  <si>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</si>
  <si>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</si>
  <si>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</si>
  <si>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</si>
  <si>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</si>
  <si>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</si>
  <si>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</si>
  <si>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</si>
  <si>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</si>
  <si>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</si>
  <si>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</si>
  <si>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</si>
  <si>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</si>
  <si>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</si>
  <si>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</si>
  <si>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</si>
  <si>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</si>
  <si>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</si>
  <si>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</si>
  <si>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</si>
  <si>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</si>
  <si>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</si>
  <si>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</si>
  <si>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</si>
  <si>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</si>
  <si>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</si>
  <si>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</si>
  <si>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</si>
  <si>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</si>
  <si>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</si>
  <si>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</si>
  <si>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</si>
  <si>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</si>
  <si>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</si>
  <si>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</si>
  <si>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</si>
  <si>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</si>
  <si>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</si>
  <si>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</si>
  <si>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</si>
  <si>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</si>
  <si>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</si>
  <si>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</si>
  <si>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</si>
  <si>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</si>
  <si>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</si>
  <si>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</si>
  <si>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</si>
  <si>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</si>
  <si>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</si>
  <si>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</si>
  <si>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</si>
  <si>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</si>
  <si>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</si>
  <si>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</si>
  <si>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</si>
  <si>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</si>
  <si>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</si>
  <si>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</si>
  <si>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</si>
  <si>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</si>
  <si>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</si>
  <si>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</si>
  <si>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</si>
  <si>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</si>
  <si>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</si>
  <si>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</si>
  <si>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</si>
  <si>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</si>
  <si>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</si>
  <si>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</si>
  <si>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</si>
  <si>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</si>
  <si>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</si>
  <si>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</si>
  <si>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</si>
  <si>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</si>
  <si>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</si>
  <si>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</si>
  <si>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</si>
  <si>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</si>
  <si>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</si>
  <si>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</si>
  <si>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</si>
  <si>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</si>
  <si>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</si>
  <si>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</si>
  <si>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</si>
  <si>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</si>
  <si>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</si>
  <si>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</si>
  <si>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</si>
  <si>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</si>
  <si>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</si>
  <si>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</si>
  <si>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</si>
  <si>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</si>
  <si>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</si>
  <si>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</si>
  <si>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</si>
  <si>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</si>
  <si>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</si>
  <si>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</si>
  <si>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</si>
  <si>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</si>
  <si>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</si>
  <si>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</si>
  <si>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</si>
  <si>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</si>
  <si>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</si>
  <si>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</si>
  <si>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</si>
  <si>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</si>
  <si>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</si>
  <si>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</si>
  <si>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</si>
  <si>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</si>
  <si>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</si>
  <si>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</si>
  <si>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</si>
  <si>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</si>
  <si>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</si>
  <si>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</si>
  <si>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</si>
  <si>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</si>
  <si>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</si>
  <si>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</si>
  <si>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</si>
  <si>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</si>
  <si>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</si>
  <si>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</si>
  <si>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</si>
  <si>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</si>
  <si>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</si>
  <si>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</si>
  <si>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</si>
  <si>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</si>
  <si>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</si>
  <si>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</si>
  <si>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</si>
  <si>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</si>
  <si>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</si>
  <si>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</si>
  <si>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</si>
  <si>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</si>
  <si>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</si>
  <si>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</si>
  <si>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</si>
  <si>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</si>
  <si>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</si>
  <si>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</si>
  <si>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</si>
  <si>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</si>
  <si>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</si>
  <si>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</si>
  <si>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</si>
  <si>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</si>
  <si>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</si>
  <si>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</si>
  <si>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</si>
  <si>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</si>
  <si>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</si>
  <si>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</si>
  <si>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</si>
  <si>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</si>
  <si>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</si>
  <si>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</si>
  <si>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</si>
  <si>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</si>
  <si>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</si>
  <si>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</si>
  <si>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</si>
  <si>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</si>
  <si>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</si>
  <si>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</si>
  <si>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</si>
  <si>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</si>
  <si>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</si>
  <si>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</si>
  <si>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</si>
  <si>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</si>
  <si>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</si>
  <si>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</si>
  <si>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</si>
  <si>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</si>
  <si>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</si>
  <si>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</si>
  <si>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</si>
  <si>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</si>
  <si>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</si>
  <si>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</si>
  <si>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</si>
  <si>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</si>
  <si>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</si>
  <si>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</si>
  <si>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</si>
  <si>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</si>
  <si>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</si>
  <si>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</si>
  <si>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</si>
  <si>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</si>
  <si>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</si>
  <si>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</si>
  <si>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</si>
  <si>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</si>
  <si>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</si>
  <si>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</si>
  <si>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</si>
  <si>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</si>
  <si>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</si>
  <si>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</si>
  <si>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</si>
  <si>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</si>
  <si>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</si>
  <si>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</si>
  <si>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</si>
  <si>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</si>
  <si>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</si>
  <si>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</si>
  <si>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</si>
  <si>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</si>
  <si>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</si>
  <si>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</si>
  <si>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</si>
  <si>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</si>
  <si>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</si>
  <si>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</si>
  <si>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</si>
  <si>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</si>
  <si>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</si>
  <si>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</si>
  <si>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</si>
  <si>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</si>
  <si>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</si>
  <si>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</si>
  <si>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</si>
  <si>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</si>
  <si>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</si>
  <si>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</si>
  <si>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</si>
  <si>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</si>
  <si>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</si>
  <si>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</si>
  <si>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</si>
  <si>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</si>
  <si>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</si>
  <si>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</si>
  <si>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</si>
  <si>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</si>
  <si>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</si>
  <si>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</si>
  <si>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</si>
  <si>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</si>
  <si>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</si>
  <si>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</si>
  <si>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</si>
  <si>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</si>
  <si>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</si>
  <si>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</si>
  <si>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</si>
  <si>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</si>
  <si>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</si>
  <si>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</si>
  <si>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</si>
  <si>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</si>
  <si>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</si>
  <si>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</si>
  <si>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</si>
  <si>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</si>
  <si>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</si>
  <si>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</si>
  <si>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</si>
  <si>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</si>
  <si>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</si>
  <si>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</si>
  <si>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</si>
  <si>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</si>
  <si>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</si>
  <si>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</si>
  <si>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</si>
  <si>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</si>
  <si>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</si>
  <si>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</si>
  <si>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</si>
  <si>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</si>
  <si>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</si>
  <si>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</si>
  <si>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</si>
  <si>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</si>
  <si>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</si>
  <si>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</si>
  <si>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</si>
  <si>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</si>
  <si>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</si>
  <si>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</si>
  <si>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</si>
  <si>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</si>
  <si>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</si>
  <si>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</si>
  <si>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</si>
  <si>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</si>
  <si>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</si>
  <si>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</si>
  <si>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</si>
  <si>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</si>
  <si>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</si>
  <si>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</si>
  <si>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</si>
  <si>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</si>
  <si>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</si>
  <si>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</si>
  <si>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</si>
  <si>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</si>
  <si>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</si>
  <si>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</si>
  <si>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</si>
  <si>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</si>
  <si>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</si>
  <si>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</si>
  <si>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</si>
  <si>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</si>
  <si>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</si>
  <si>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</si>
  <si>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</si>
  <si>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</si>
  <si>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</si>
  <si>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</si>
  <si>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</si>
  <si>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</si>
  <si>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</si>
  <si>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</si>
  <si>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</si>
  <si>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</si>
  <si>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</si>
  <si>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</si>
  <si>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</si>
  <si>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</si>
  <si>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</si>
  <si>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</si>
  <si>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</si>
  <si>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</si>
  <si>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</si>
  <si>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</si>
  <si>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</si>
  <si>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</si>
  <si>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</si>
  <si>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</si>
  <si>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</si>
  <si>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</si>
  <si>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</si>
  <si>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</si>
  <si>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</si>
  <si>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</si>
  <si>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</si>
  <si>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</si>
  <si>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</si>
  <si>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</si>
  <si>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</si>
  <si>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</si>
  <si>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</si>
  <si>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</si>
  <si>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</si>
  <si>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</si>
  <si>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</si>
  <si>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</si>
  <si>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</si>
  <si>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</si>
  <si>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</si>
  <si>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</si>
  <si>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</si>
  <si>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</si>
  <si>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</si>
  <si>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</si>
  <si>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</si>
  <si>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</si>
  <si>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</si>
  <si>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</si>
  <si>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</si>
  <si>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</si>
  <si>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</si>
  <si>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</si>
  <si>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</si>
  <si>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</si>
  <si>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</si>
  <si>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</si>
  <si>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</si>
  <si>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</si>
  <si>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</si>
  <si>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</si>
  <si>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</si>
  <si>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</si>
  <si>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</si>
  <si>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</si>
  <si>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</si>
  <si>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</si>
  <si>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</si>
  <si>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</si>
  <si>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</si>
  <si>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</si>
  <si>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</si>
  <si>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</si>
  <si>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</si>
  <si>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</si>
  <si>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</si>
  <si>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</si>
  <si>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</si>
  <si>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</si>
  <si>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</si>
  <si>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</si>
  <si>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</si>
  <si>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</si>
  <si>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</si>
  <si>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</si>
  <si>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</si>
  <si>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</si>
  <si>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</si>
  <si>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</si>
  <si>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</si>
  <si>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</si>
  <si>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</si>
  <si>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</si>
  <si>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</si>
  <si>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</si>
  <si>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</si>
  <si>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</si>
  <si>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</si>
  <si>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</si>
  <si>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</si>
  <si>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</si>
  <si>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</si>
  <si>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</si>
  <si>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</si>
  <si>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</si>
  <si>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</si>
  <si>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</si>
  <si>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</si>
  <si>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</si>
  <si>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</si>
  <si>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</si>
  <si>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</si>
  <si>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</si>
  <si>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</si>
  <si>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</si>
  <si>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</si>
  <si>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</si>
  <si>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</si>
  <si>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</si>
  <si>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</si>
  <si>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</si>
  <si>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</si>
  <si>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</si>
  <si>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</si>
  <si>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</si>
  <si>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</si>
  <si>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</si>
  <si>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</si>
  <si>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</si>
  <si>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</si>
  <si>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</si>
  <si>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</si>
  <si>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</si>
  <si>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</si>
  <si>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</si>
  <si>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</si>
  <si>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</si>
  <si>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</si>
  <si>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</si>
  <si>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</si>
  <si>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</si>
  <si>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</si>
  <si>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</si>
  <si>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</si>
  <si>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</si>
  <si>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</si>
  <si>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</si>
  <si>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</si>
  <si>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</si>
  <si>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</si>
  <si>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</si>
  <si>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</si>
  <si>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</si>
  <si>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</si>
  <si>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</si>
  <si>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</si>
  <si>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</si>
  <si>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</si>
  <si>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</si>
  <si>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</si>
  <si>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</si>
  <si>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</si>
  <si>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</si>
  <si>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</si>
  <si>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</si>
  <si>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</si>
  <si>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</si>
  <si>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</si>
  <si>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</si>
  <si>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</si>
  <si>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</si>
  <si>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</si>
  <si>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</si>
  <si>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</si>
  <si>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</si>
  <si>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</si>
  <si>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</si>
  <si>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</si>
  <si>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</si>
  <si>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</si>
  <si>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</si>
  <si>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</si>
  <si>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</si>
  <si>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</si>
  <si>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</si>
  <si>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</si>
  <si>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</si>
  <si>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</si>
  <si>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</si>
  <si>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</si>
  <si>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</si>
  <si>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</si>
  <si>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</si>
  <si>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</si>
  <si>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</si>
  <si>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</si>
  <si>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</si>
  <si>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</si>
  <si>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</si>
  <si>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</si>
  <si>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</si>
  <si>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</si>
  <si>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</si>
  <si>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</si>
  <si>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</si>
  <si>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</si>
  <si>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</si>
  <si>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</si>
  <si>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</si>
  <si>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</si>
  <si>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</si>
  <si>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</si>
  <si>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</si>
  <si>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</si>
  <si>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</si>
  <si>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</si>
  <si>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</si>
  <si>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</si>
  <si>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</si>
  <si>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</si>
  <si>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</si>
  <si>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</si>
  <si>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</si>
  <si>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</si>
  <si>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</si>
  <si>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</si>
  <si>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</si>
  <si>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</si>
  <si>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</si>
  <si>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</si>
  <si>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</si>
  <si>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</si>
  <si>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</si>
  <si>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</si>
  <si>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</si>
  <si>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</si>
  <si>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</si>
  <si>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</si>
  <si>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</si>
  <si>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</si>
  <si>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</si>
  <si>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</si>
  <si>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</si>
  <si>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</si>
  <si>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</si>
  <si>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</si>
  <si>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</si>
  <si>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</si>
  <si>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</si>
  <si>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</si>
  <si>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</si>
  <si>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</si>
  <si>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</si>
  <si>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</si>
  <si>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</si>
  <si>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</si>
  <si>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</si>
  <si>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</si>
  <si>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</si>
  <si>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</si>
  <si>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</si>
  <si>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</si>
  <si>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</si>
  <si>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</si>
  <si>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</si>
  <si>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</si>
  <si>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</si>
  <si>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</si>
  <si>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</si>
  <si>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</si>
  <si>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</si>
  <si>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</si>
  <si>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</si>
  <si>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</si>
  <si>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</si>
  <si>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</si>
  <si>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</si>
  <si>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</si>
  <si>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</si>
  <si>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</si>
  <si>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</si>
  <si>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</si>
  <si>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</si>
  <si>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</si>
  <si>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</si>
  <si>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</si>
  <si>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</si>
  <si>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</si>
  <si>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</si>
  <si>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</si>
  <si>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</si>
  <si>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</si>
  <si>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</si>
  <si>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</si>
  <si>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</si>
  <si>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</si>
  <si>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</si>
  <si>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</si>
  <si>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</si>
  <si>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</si>
  <si>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</si>
  <si>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</si>
  <si>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</si>
  <si>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</si>
  <si>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</si>
  <si>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</si>
  <si>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</si>
  <si>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</si>
  <si>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</si>
  <si>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</si>
  <si>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</si>
  <si>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</si>
  <si>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</si>
  <si>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</si>
  <si>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</si>
  <si>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</si>
  <si>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</si>
  <si>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</si>
  <si>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</si>
  <si>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</si>
  <si>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</si>
  <si>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</si>
  <si>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</si>
  <si>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</si>
  <si>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</si>
  <si>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</si>
  <si>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</si>
  <si>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</si>
  <si>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</si>
  <si>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</si>
  <si>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</si>
  <si>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</si>
  <si>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</si>
  <si>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</si>
  <si>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</si>
  <si>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</si>
  <si>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</si>
  <si>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</si>
  <si>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</si>
  <si>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</si>
  <si>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</si>
  <si>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</si>
  <si>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</si>
  <si>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</si>
  <si>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</si>
  <si>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</si>
  <si>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</si>
  <si>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</si>
  <si>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</si>
  <si>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</si>
  <si>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</si>
  <si>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</si>
  <si>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</si>
  <si>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</si>
  <si>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</si>
  <si>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</si>
  <si>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</si>
  <si>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</si>
  <si>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</si>
  <si>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</si>
  <si>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</si>
  <si>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</si>
  <si>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</si>
  <si>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</si>
  <si>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</si>
  <si>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</si>
  <si>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</si>
  <si>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</si>
  <si>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</si>
  <si>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</si>
  <si>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</si>
  <si>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</si>
  <si>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</si>
  <si>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</si>
  <si>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</si>
  <si>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</si>
  <si>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</si>
  <si>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</si>
  <si>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</si>
  <si>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</si>
  <si>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</si>
  <si>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</si>
  <si>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</si>
  <si>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</si>
  <si>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</si>
  <si>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</si>
  <si>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</si>
  <si>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</si>
  <si>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</si>
  <si>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</si>
  <si>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</si>
  <si>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</si>
  <si>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</si>
  <si>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</si>
  <si>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</si>
  <si>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</si>
  <si>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</si>
  <si>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</si>
  <si>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</si>
  <si>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</si>
  <si>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</si>
  <si>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</si>
  <si>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</si>
  <si>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</si>
  <si>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</si>
  <si>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</si>
  <si>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</si>
  <si>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</si>
  <si>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</si>
  <si>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</si>
  <si>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</si>
  <si>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</si>
  <si>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</si>
  <si>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</si>
  <si>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</si>
  <si>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</si>
  <si>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</si>
  <si>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</si>
  <si>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</si>
  <si>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</si>
  <si>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</si>
  <si>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</si>
  <si>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</si>
  <si>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</si>
  <si>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</si>
  <si>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</si>
  <si>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</si>
  <si>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</si>
  <si>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</si>
  <si>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</si>
  <si>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</si>
  <si>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</si>
  <si>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</si>
  <si>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</si>
  <si>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</si>
  <si>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</si>
  <si>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</si>
  <si>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</si>
  <si>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</si>
  <si>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</si>
  <si>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</si>
  <si>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</si>
  <si>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</si>
  <si>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</si>
  <si>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</si>
  <si>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</si>
  <si>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</si>
  <si>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</si>
  <si>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</si>
  <si>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</si>
  <si>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</si>
  <si>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</si>
  <si>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</si>
  <si>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</si>
  <si>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</si>
  <si>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</si>
  <si>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</si>
  <si>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</si>
  <si>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</si>
  <si>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</si>
  <si>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</si>
  <si>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</si>
  <si>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</si>
  <si>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</si>
  <si>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</si>
  <si>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</si>
  <si>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</si>
  <si>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</si>
  <si>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</si>
  <si>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</si>
  <si>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</si>
  <si>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</si>
  <si>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</si>
  <si>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</si>
  <si>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</si>
  <si>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</si>
  <si>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</si>
  <si>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</si>
  <si>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</si>
  <si>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</si>
  <si>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</si>
  <si>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</si>
  <si>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</si>
  <si>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</si>
  <si>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</si>
  <si>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</si>
  <si>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</si>
  <si>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</si>
  <si>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</si>
  <si>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</si>
  <si>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</si>
  <si>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</si>
  <si>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</si>
  <si>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</si>
  <si>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</si>
  <si>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</si>
  <si>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</si>
  <si>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</si>
  <si>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</si>
  <si>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</si>
  <si>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</si>
  <si>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</si>
  <si>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</si>
  <si>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</si>
  <si>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</si>
  <si>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</si>
  <si>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</si>
  <si>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</si>
  <si>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</si>
  <si>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</si>
  <si>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</si>
  <si>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</si>
  <si>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</si>
  <si>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</si>
  <si>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</si>
  <si>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</si>
  <si>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</si>
  <si>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</si>
  <si>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</si>
  <si>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</si>
  <si>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</si>
  <si>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</si>
  <si>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</si>
  <si>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</si>
  <si>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</si>
  <si>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</si>
  <si>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</si>
  <si>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</si>
  <si>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</si>
  <si>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</si>
  <si>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</si>
  <si>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</si>
  <si>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</si>
  <si>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</si>
  <si>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</si>
  <si>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</si>
  <si>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</si>
  <si>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</si>
  <si>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</si>
  <si>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</si>
  <si>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</si>
  <si>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</si>
  <si>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</si>
  <si>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</si>
  <si>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</si>
  <si>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</si>
  <si>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</si>
  <si>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</si>
  <si>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</si>
  <si>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</si>
  <si>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</si>
  <si>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</si>
  <si>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</si>
  <si>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</si>
  <si>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</si>
  <si>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</si>
  <si>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</si>
  <si>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</si>
  <si>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</si>
  <si>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</si>
  <si>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</si>
  <si>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</si>
  <si>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</si>
  <si>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</si>
  <si>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</si>
  <si>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</si>
  <si>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</si>
  <si>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</si>
  <si>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</si>
  <si>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</si>
  <si>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</si>
  <si>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</si>
  <si>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</si>
  <si>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</si>
  <si>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</si>
  <si>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</si>
  <si>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</si>
  <si>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</si>
  <si>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</si>
  <si>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</si>
  <si>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</si>
  <si>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</si>
  <si>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</si>
  <si>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</si>
  <si>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</si>
  <si>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</si>
  <si>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</si>
  <si>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</si>
  <si>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</si>
  <si>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</si>
  <si>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</si>
  <si>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</si>
  <si>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</si>
  <si>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</si>
  <si>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</si>
  <si>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</si>
  <si>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</si>
  <si>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</si>
  <si>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</si>
  <si>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</si>
  <si>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</si>
  <si>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</si>
  <si>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</si>
  <si>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</si>
  <si>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</si>
  <si>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</si>
  <si>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</si>
  <si>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</si>
  <si>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</si>
  <si>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</si>
  <si>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</si>
  <si>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</si>
  <si>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</si>
  <si>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</si>
  <si>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</si>
  <si>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</si>
  <si>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</si>
  <si>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</si>
  <si>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</si>
  <si>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</si>
  <si>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</si>
  <si>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</si>
  <si>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</si>
  <si>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</si>
  <si>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</si>
  <si>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</si>
  <si>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</si>
  <si>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</si>
  <si>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</si>
  <si>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</si>
  <si>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</si>
  <si>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</si>
  <si>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</si>
  <si>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</si>
  <si>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</si>
  <si>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</si>
  <si>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</si>
  <si>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</si>
  <si>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</si>
  <si>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</si>
  <si>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</si>
  <si>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</si>
  <si>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</si>
  <si>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</si>
  <si>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</si>
  <si>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</si>
  <si>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</si>
  <si>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</si>
  <si>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</si>
  <si>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</si>
  <si>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</si>
  <si>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</si>
  <si>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</si>
  <si>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</si>
  <si>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</si>
  <si>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</si>
  <si>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</si>
  <si>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</si>
  <si>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</si>
  <si>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</si>
  <si>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</si>
  <si>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</si>
  <si>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</si>
  <si>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</si>
  <si>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</si>
  <si>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</si>
  <si>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</si>
  <si>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</si>
  <si>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</si>
  <si>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</si>
  <si>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</si>
  <si>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</si>
  <si>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</si>
  <si>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</si>
  <si>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</si>
  <si>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</si>
  <si>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</si>
  <si>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</si>
  <si>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</si>
  <si>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</si>
  <si>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</si>
  <si>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</si>
  <si>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</si>
  <si>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</si>
  <si>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</si>
  <si>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</si>
  <si>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</si>
  <si>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</si>
  <si>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</si>
  <si>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</si>
  <si>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</si>
  <si>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</si>
  <si>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</si>
  <si>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</si>
  <si>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</si>
  <si>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</si>
  <si>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</si>
  <si>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</si>
  <si>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</si>
  <si>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</si>
  <si>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</si>
  <si>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</si>
  <si>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</si>
  <si>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</si>
  <si>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</si>
  <si>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</si>
  <si>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</si>
  <si>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</si>
  <si>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</si>
  <si>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</si>
  <si>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</si>
  <si>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</si>
  <si>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</si>
  <si>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</si>
  <si>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</si>
  <si>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</si>
  <si>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</si>
  <si>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</si>
  <si>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</si>
  <si>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</si>
  <si>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</si>
  <si>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</si>
  <si>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</si>
  <si>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</si>
  <si>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</si>
  <si>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</si>
  <si>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</si>
  <si>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</si>
  <si>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</si>
  <si>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</si>
  <si>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</si>
  <si>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</si>
  <si>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</si>
  <si>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</si>
  <si>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</si>
  <si>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</si>
  <si>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</si>
  <si>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</si>
  <si>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</si>
  <si>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</si>
  <si>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</si>
  <si>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</si>
  <si>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</si>
  <si>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</si>
  <si>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</si>
  <si>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</si>
  <si>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</si>
  <si>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</si>
  <si>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</si>
  <si>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</si>
  <si>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</si>
  <si>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</si>
  <si>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</si>
  <si>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</si>
  <si>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</si>
  <si>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</si>
  <si>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</si>
  <si>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</si>
  <si>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</si>
  <si>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</si>
  <si>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</si>
  <si>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</si>
  <si>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</si>
  <si>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</si>
  <si>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</si>
  <si>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</si>
  <si>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</si>
  <si>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</si>
  <si>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</si>
  <si>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</si>
  <si>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</si>
  <si>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</si>
  <si>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</si>
  <si>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</si>
  <si>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</si>
  <si>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</si>
  <si>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</si>
  <si>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</si>
  <si>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</si>
  <si>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</si>
  <si>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</si>
  <si>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</si>
  <si>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</si>
  <si>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</si>
  <si>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</si>
  <si>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</si>
  <si>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</si>
  <si>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</si>
  <si>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</si>
  <si>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</si>
  <si>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</si>
  <si>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</si>
  <si>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</si>
  <si>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</si>
  <si>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</si>
  <si>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</si>
  <si>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</si>
  <si>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</si>
  <si>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</si>
  <si>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</si>
  <si>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</si>
  <si>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</si>
  <si>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</si>
  <si>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</si>
  <si>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</si>
  <si>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</si>
  <si>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</si>
  <si>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</si>
  <si>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</si>
  <si>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</si>
  <si>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</si>
  <si>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</si>
  <si>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</si>
  <si>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</si>
  <si>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</si>
  <si>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</si>
  <si>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</si>
  <si>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</si>
  <si>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</si>
  <si>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</si>
  <si>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</si>
  <si>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</si>
  <si>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</si>
  <si>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</si>
  <si>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</si>
  <si>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</si>
  <si>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</si>
  <si>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</si>
  <si>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</si>
  <si>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</si>
  <si>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</si>
  <si>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</si>
  <si>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</si>
  <si>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</si>
  <si>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</si>
  <si>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</si>
  <si>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</si>
  <si>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</si>
  <si>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</si>
  <si>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</si>
  <si>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</si>
  <si>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</si>
  <si>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</si>
  <si>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</si>
  <si>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</si>
  <si>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</si>
  <si>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</si>
  <si>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</si>
  <si>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</si>
  <si>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</si>
  <si>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</si>
  <si>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</si>
  <si>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</si>
  <si>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</si>
  <si>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</si>
  <si>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</si>
  <si>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</si>
  <si>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</si>
  <si>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</si>
  <si>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</si>
  <si>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</si>
  <si>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</si>
  <si>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</si>
  <si>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</si>
  <si>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</si>
  <si>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</si>
  <si>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</si>
  <si>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</si>
  <si>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</si>
  <si>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</si>
  <si>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</si>
  <si>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</si>
  <si>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</si>
  <si>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</si>
  <si>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</si>
  <si>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</si>
  <si>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</si>
  <si>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</si>
  <si>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</si>
  <si>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</si>
  <si>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</si>
  <si>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</si>
  <si>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</si>
  <si>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</si>
  <si>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</si>
  <si>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</si>
  <si>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</si>
  <si>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</si>
  <si>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</si>
  <si>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</si>
  <si>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</si>
  <si>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</si>
  <si>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</si>
  <si>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</si>
  <si>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</si>
  <si>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</si>
  <si>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</si>
  <si>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</si>
  <si>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</si>
  <si>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</si>
  <si>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</si>
  <si>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</si>
  <si>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</si>
  <si>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</si>
  <si>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</si>
  <si>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</si>
  <si>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</si>
  <si>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</si>
  <si>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</si>
  <si>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</si>
  <si>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</si>
  <si>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</si>
  <si>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</si>
  <si>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</si>
  <si>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</si>
  <si>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</si>
  <si>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</si>
  <si>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</si>
  <si>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</si>
  <si>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</si>
  <si>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</si>
  <si>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</si>
  <si>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</si>
  <si>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</si>
  <si>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</si>
  <si>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</si>
  <si>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</si>
  <si>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</si>
  <si>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</si>
  <si>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</si>
  <si>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</si>
  <si>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</si>
  <si>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</si>
  <si>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</si>
  <si>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</si>
  <si>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</si>
  <si>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</si>
  <si>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</si>
  <si>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</si>
  <si>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</si>
  <si>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</si>
  <si>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</si>
  <si>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</si>
  <si>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</si>
  <si>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</si>
  <si>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</si>
  <si>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</si>
  <si>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</si>
  <si>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</si>
  <si>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</si>
  <si>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</si>
  <si>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</si>
  <si>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</si>
  <si>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</si>
  <si>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</si>
  <si>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</si>
  <si>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</si>
  <si>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</si>
  <si>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</si>
  <si>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</si>
  <si>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</si>
  <si>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</si>
  <si>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</si>
  <si>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</si>
  <si>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</si>
  <si>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</si>
  <si>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</si>
  <si>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</si>
  <si>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</si>
  <si>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</si>
  <si>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</si>
  <si>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</si>
  <si>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</si>
  <si>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</si>
  <si>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</si>
  <si>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</si>
  <si>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</si>
  <si>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</si>
  <si>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</si>
  <si>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</si>
  <si>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</si>
  <si>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</si>
  <si>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</si>
  <si>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</si>
  <si>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</si>
  <si>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</si>
  <si>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</si>
  <si>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</si>
  <si>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</si>
  <si>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</si>
  <si>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</si>
  <si>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</si>
  <si>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</si>
  <si>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</si>
  <si>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</si>
  <si>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</si>
  <si>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</si>
  <si>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</si>
  <si>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</si>
  <si>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</si>
  <si>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</si>
  <si>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</si>
  <si>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</si>
  <si>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</si>
  <si>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</si>
  <si>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</si>
  <si>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</si>
  <si>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</si>
  <si>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</si>
  <si>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</si>
  <si>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</si>
  <si>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</si>
  <si>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</si>
  <si>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</si>
  <si>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</si>
  <si>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</si>
  <si>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</si>
  <si>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</si>
  <si>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</si>
  <si>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</si>
  <si>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</si>
  <si>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</si>
  <si>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</si>
  <si>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</si>
  <si>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</si>
  <si>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</si>
  <si>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</si>
  <si>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</si>
  <si>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</si>
  <si>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</si>
  <si>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</si>
  <si>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</si>
  <si>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</si>
  <si>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</si>
  <si>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</si>
  <si>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</si>
  <si>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</si>
  <si>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</si>
  <si>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</si>
  <si>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</si>
  <si>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</si>
  <si>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</si>
  <si>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</si>
  <si>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</si>
  <si>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</si>
  <si>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</si>
  <si>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</si>
  <si>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</si>
  <si>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</si>
  <si>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</si>
  <si>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</si>
  <si>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</si>
  <si>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</si>
  <si>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</si>
  <si>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</si>
  <si>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</si>
  <si>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</si>
  <si>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</si>
  <si>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</si>
  <si>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</si>
  <si>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</si>
  <si>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</si>
  <si>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</si>
  <si>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</si>
  <si>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</si>
  <si>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</si>
  <si>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</si>
  <si>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</si>
  <si>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</si>
  <si>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</si>
  <si>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</si>
  <si>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</si>
  <si>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</si>
  <si>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</si>
  <si>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</si>
  <si>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</si>
  <si>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</si>
  <si>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</si>
  <si>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</si>
  <si>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</si>
  <si>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</si>
  <si>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</si>
  <si>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</si>
  <si>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</si>
  <si>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</si>
  <si>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</si>
  <si>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</si>
  <si>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</si>
  <si>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</si>
  <si>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</si>
  <si>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</si>
  <si>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</si>
  <si>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</si>
  <si>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</si>
  <si>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</si>
  <si>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</si>
  <si>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</si>
  <si>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</si>
  <si>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</si>
  <si>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</si>
  <si>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</si>
  <si>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</si>
  <si>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</si>
  <si>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</si>
  <si>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</si>
  <si>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</si>
  <si>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</si>
  <si>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</si>
  <si>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</si>
  <si>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</si>
  <si>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</si>
  <si>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</si>
  <si>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</si>
  <si>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</si>
  <si>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</si>
  <si>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</si>
  <si>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</si>
  <si>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</si>
  <si>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</si>
  <si>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</si>
  <si>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</si>
  <si>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</si>
  <si>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</si>
  <si>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</si>
  <si>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</si>
  <si>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</si>
  <si>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</si>
  <si>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</si>
  <si>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</si>
  <si>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</si>
  <si>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</si>
  <si>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</si>
  <si>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</si>
  <si>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</si>
  <si>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</si>
  <si>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</si>
  <si>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</si>
  <si>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</si>
  <si>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</si>
  <si>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</si>
  <si>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</si>
  <si>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</si>
  <si>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</si>
  <si>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</si>
  <si>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</si>
  <si>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</si>
  <si>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</si>
  <si>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</si>
  <si>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</si>
  <si>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</si>
  <si>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</si>
  <si>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</si>
  <si>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</si>
  <si>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</si>
  <si>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</si>
  <si>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</si>
  <si>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</si>
  <si>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</si>
  <si>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</si>
  <si>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</si>
  <si>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</si>
  <si>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</si>
  <si>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</si>
  <si>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</si>
  <si>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</si>
  <si>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</si>
  <si>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</si>
  <si>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</si>
  <si>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</si>
  <si>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</si>
  <si>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</si>
  <si>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</si>
  <si>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</si>
  <si>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</si>
  <si>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</si>
  <si>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</si>
  <si>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</si>
  <si>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</si>
  <si>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</si>
  <si>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</si>
  <si>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</si>
  <si>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</si>
  <si>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</si>
  <si>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</si>
  <si>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</si>
  <si>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</si>
  <si>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</si>
  <si>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</si>
  <si>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</si>
  <si>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</si>
  <si>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</si>
  <si>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</si>
  <si>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</si>
  <si>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</si>
  <si>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</si>
  <si>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</si>
  <si>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</si>
  <si>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</si>
  <si>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</si>
  <si>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</si>
  <si>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</si>
  <si>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</si>
  <si>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</si>
  <si>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</si>
  <si>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</si>
  <si>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</si>
  <si>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</si>
  <si>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</si>
  <si>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</si>
  <si>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</si>
  <si>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</si>
  <si>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</si>
  <si>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</si>
  <si>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</si>
  <si>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</si>
  <si>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</si>
  <si>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</si>
  <si>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</si>
  <si>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</si>
  <si>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</si>
  <si>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</si>
  <si>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</si>
  <si>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</si>
  <si>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</si>
  <si>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</si>
  <si>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</si>
  <si>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</si>
  <si>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</si>
  <si>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</si>
  <si>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</si>
  <si>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</si>
  <si>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</si>
  <si>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</si>
  <si>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</si>
  <si>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</si>
  <si>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</si>
  <si>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</si>
  <si>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</si>
  <si>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</si>
  <si>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</si>
  <si>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</si>
  <si>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</si>
  <si>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</si>
  <si>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</si>
  <si>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</si>
  <si>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</si>
  <si>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</si>
  <si>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</si>
  <si>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</si>
  <si>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</si>
  <si>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</si>
  <si>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</si>
  <si>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</si>
  <si>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</si>
  <si>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</si>
  <si>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</si>
  <si>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</si>
  <si>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</si>
  <si>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</si>
  <si>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</si>
  <si>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</si>
  <si>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</si>
  <si>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</si>
  <si>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</si>
  <si>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</si>
  <si>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</si>
  <si>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</si>
  <si>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</si>
  <si>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</si>
  <si>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</si>
  <si>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</si>
  <si>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</si>
  <si>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</si>
  <si>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</si>
  <si>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</si>
  <si>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</si>
  <si>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</si>
  <si>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</si>
  <si>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</si>
  <si>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</si>
  <si>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</si>
  <si>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</si>
  <si>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</si>
  <si>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</si>
  <si>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</si>
  <si>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</si>
  <si>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</si>
  <si>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</si>
  <si>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</si>
  <si>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</si>
  <si>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</si>
  <si>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</si>
  <si>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</si>
  <si>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</si>
  <si>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</si>
  <si>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</si>
  <si>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</si>
  <si>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</si>
  <si>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</si>
  <si>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</si>
  <si>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</si>
  <si>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</si>
  <si>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</si>
  <si>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</si>
  <si>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</si>
  <si>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</si>
  <si>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</si>
  <si>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</si>
  <si>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</si>
  <si>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</si>
  <si>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</si>
  <si>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</si>
  <si>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</si>
  <si>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</si>
  <si>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</si>
  <si>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</si>
  <si>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</si>
  <si>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</si>
  <si>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</si>
  <si>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</si>
  <si>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</si>
  <si>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</si>
  <si>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</si>
  <si>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</si>
  <si>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</si>
  <si>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</si>
  <si>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</si>
  <si>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</si>
  <si>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</si>
  <si>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</si>
  <si>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</si>
  <si>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</si>
  <si>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</si>
  <si>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</si>
  <si>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</si>
  <si>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</si>
  <si>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</si>
  <si>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</si>
  <si>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</si>
  <si>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</si>
  <si>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</si>
  <si>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</si>
  <si>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</si>
  <si>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</si>
  <si>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</si>
  <si>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</si>
  <si>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</si>
  <si>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</si>
  <si>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</si>
  <si>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</si>
  <si>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</si>
  <si>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</si>
  <si>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</si>
  <si>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</si>
  <si>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</si>
  <si>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</si>
  <si>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</si>
  <si>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</si>
  <si>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</si>
  <si>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</si>
  <si>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</si>
  <si>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</si>
  <si>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</si>
  <si>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</si>
  <si>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</si>
  <si>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</si>
  <si>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</si>
  <si>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</si>
  <si>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</si>
  <si>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</si>
  <si>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</si>
  <si>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</si>
  <si>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</si>
  <si>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</si>
  <si>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</si>
  <si>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</si>
  <si>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</si>
  <si>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</si>
  <si>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</si>
  <si>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</si>
  <si>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</si>
  <si>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</si>
  <si>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</si>
  <si>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</si>
  <si>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</si>
  <si>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</si>
  <si>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</si>
  <si>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</si>
  <si>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</si>
  <si>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</si>
  <si>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</si>
  <si>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</si>
  <si>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</si>
  <si>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</si>
  <si>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</si>
  <si>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</si>
  <si>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</si>
  <si>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</si>
  <si>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</si>
  <si>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</si>
  <si>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</si>
  <si>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</si>
  <si>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</si>
  <si>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</si>
  <si>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</si>
  <si>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</si>
  <si>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</si>
  <si>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</si>
  <si>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</si>
  <si>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</si>
  <si>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</si>
  <si>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</si>
  <si>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</si>
  <si>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</si>
  <si>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</si>
  <si>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</si>
  <si>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</si>
  <si>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</si>
  <si>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</si>
  <si>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</si>
  <si>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</si>
  <si>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</si>
  <si>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</si>
  <si>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</si>
  <si>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</si>
  <si>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</si>
  <si>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</si>
  <si>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</si>
  <si>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</si>
  <si>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</si>
  <si>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</si>
  <si>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</si>
  <si>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</si>
  <si>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</si>
  <si>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</si>
  <si>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</si>
  <si>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</si>
  <si>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</si>
  <si>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</si>
  <si>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</si>
  <si>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</si>
  <si>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</si>
  <si>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</si>
  <si>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</si>
  <si>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</si>
  <si>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</si>
  <si>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</si>
  <si>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</si>
  <si>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</si>
  <si>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</si>
  <si>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</si>
  <si>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</si>
  <si>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</si>
  <si>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</si>
  <si>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</si>
  <si>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</si>
  <si>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</si>
  <si>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</si>
  <si>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</si>
  <si>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</si>
  <si>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</si>
  <si>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</si>
  <si>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</si>
  <si>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</si>
  <si>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</si>
  <si>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</si>
  <si>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</si>
  <si>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</si>
  <si>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</si>
  <si>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</si>
  <si>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</si>
  <si>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</si>
  <si>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</si>
  <si>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</si>
  <si>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</si>
  <si>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</si>
  <si>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</si>
  <si>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</si>
  <si>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</si>
  <si>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</si>
  <si>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</si>
  <si>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</si>
  <si>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</si>
  <si>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</si>
  <si>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</si>
  <si>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</si>
  <si>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</si>
  <si>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</si>
  <si>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</si>
  <si>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</si>
  <si>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</si>
  <si>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</si>
  <si>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</si>
  <si>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</si>
  <si>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</si>
  <si>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</si>
  <si>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</si>
  <si>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</si>
  <si>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</si>
  <si>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</si>
  <si>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</si>
  <si>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</si>
  <si>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</si>
  <si>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</si>
  <si>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</si>
  <si>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</si>
  <si>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</si>
  <si>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</si>
  <si>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</si>
  <si>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</si>
  <si>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</si>
  <si>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</si>
  <si>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</si>
  <si>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</si>
  <si>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</si>
  <si>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</si>
  <si>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</si>
  <si>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</si>
  <si>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</si>
  <si>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</si>
  <si>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</si>
  <si>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</si>
  <si>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</si>
  <si>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</si>
  <si>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</si>
  <si>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</si>
  <si>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</si>
  <si>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</si>
  <si>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</si>
  <si>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</si>
  <si>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</si>
  <si>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</si>
  <si>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</si>
  <si>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</si>
  <si>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</si>
  <si>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</si>
  <si>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</si>
  <si>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</si>
  <si>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</si>
  <si>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</si>
  <si>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</si>
  <si>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</si>
  <si>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</si>
  <si>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</si>
  <si>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</si>
  <si>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</si>
  <si>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</si>
  <si>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</si>
  <si>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</si>
  <si>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</si>
  <si>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</si>
  <si>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</si>
  <si>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</si>
  <si>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</si>
  <si>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</si>
  <si>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</si>
  <si>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</si>
  <si>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</si>
  <si>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</si>
  <si>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</si>
  <si>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</si>
  <si>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</si>
  <si>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</si>
  <si>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</si>
  <si>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</si>
  <si>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</si>
  <si>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</si>
  <si>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</si>
  <si>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</si>
  <si>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</si>
  <si>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</si>
  <si>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</si>
  <si>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</si>
  <si>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</si>
  <si>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</si>
  <si>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</si>
  <si>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</si>
  <si>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</si>
  <si>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</si>
  <si>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</si>
  <si>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</si>
  <si>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</si>
  <si>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</si>
  <si>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</si>
  <si>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</si>
  <si>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</si>
  <si>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</si>
  <si>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</si>
  <si>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</si>
  <si>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</si>
  <si>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</si>
  <si>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</si>
  <si>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</si>
  <si>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</si>
  <si>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</si>
  <si>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</si>
  <si>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</si>
  <si>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</si>
  <si>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</si>
  <si>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</si>
  <si>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</si>
  <si>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</si>
  <si>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</si>
  <si>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</si>
  <si>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</si>
  <si>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</si>
  <si>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</si>
  <si>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</si>
  <si>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</si>
  <si>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</si>
  <si>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</si>
  <si>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</si>
  <si>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</si>
  <si>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</si>
  <si>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</si>
  <si>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</si>
  <si>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</si>
  <si>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</si>
  <si>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</si>
  <si>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</si>
  <si>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</si>
  <si>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</si>
  <si>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</si>
  <si>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</si>
  <si>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</si>
  <si>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</si>
  <si>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</si>
  <si>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</si>
  <si>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</si>
  <si>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</si>
  <si>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</si>
  <si>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</si>
  <si>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</si>
  <si>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</si>
  <si>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</si>
  <si>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</si>
  <si>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</si>
  <si>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</si>
  <si>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</si>
  <si>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</si>
  <si>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</si>
  <si>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</si>
  <si>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</si>
  <si>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</si>
  <si>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</si>
  <si>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</si>
  <si>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</si>
  <si>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</si>
  <si>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</si>
  <si>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</si>
  <si>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</si>
  <si>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</si>
  <si>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</si>
  <si>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</si>
  <si>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</si>
  <si>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</si>
  <si>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</si>
  <si>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</si>
  <si>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</si>
  <si>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</si>
  <si>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</si>
  <si>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</si>
  <si>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</si>
  <si>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</si>
  <si>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</si>
  <si>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</si>
  <si>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</si>
  <si>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</si>
  <si>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</si>
  <si>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</si>
  <si>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</si>
  <si>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</si>
  <si>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</si>
  <si>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</si>
  <si>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</si>
  <si>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</si>
  <si>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</si>
  <si>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</si>
  <si>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</si>
  <si>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</si>
  <si>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</si>
  <si>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</si>
  <si>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</si>
  <si>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</si>
  <si>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</si>
  <si>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</si>
  <si>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</si>
  <si>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</si>
  <si>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</si>
  <si>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</si>
  <si>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</si>
  <si>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</si>
  <si>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</si>
  <si>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</si>
  <si>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</si>
  <si>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</si>
  <si>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</si>
  <si>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</si>
  <si>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</si>
  <si>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</si>
  <si>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</si>
  <si>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</si>
  <si>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</si>
  <si>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</si>
  <si>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</si>
  <si>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</si>
  <si>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</si>
  <si>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</si>
  <si>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</si>
  <si>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</si>
  <si>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</si>
  <si>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</si>
  <si>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</si>
  <si>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</si>
  <si>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</si>
  <si>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</si>
  <si>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</si>
  <si>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</si>
  <si>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</si>
  <si>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</si>
  <si>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</si>
  <si>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</si>
  <si>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</si>
  <si>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</si>
  <si>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</si>
  <si>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</si>
  <si>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</si>
  <si>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</si>
  <si>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</si>
  <si>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</si>
  <si>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</si>
  <si>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</si>
  <si>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</si>
  <si>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</si>
  <si>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</si>
  <si>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</si>
  <si>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</si>
  <si>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</si>
  <si>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</si>
  <si>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</si>
  <si>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</si>
  <si>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</si>
  <si>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</si>
  <si>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</si>
  <si>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</si>
  <si>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</si>
  <si>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</si>
  <si>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</si>
  <si>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</si>
  <si>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</si>
  <si>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</si>
  <si>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</si>
  <si>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</si>
  <si>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</si>
  <si>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</si>
  <si>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</si>
  <si>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</si>
  <si>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</si>
  <si>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</si>
  <si>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</si>
  <si>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</si>
  <si>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</si>
  <si>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</si>
  <si>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</si>
  <si>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</si>
  <si>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</si>
  <si>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</si>
  <si>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</si>
  <si>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</si>
  <si>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</si>
  <si>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</si>
  <si>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</si>
  <si>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</si>
  <si>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</si>
  <si>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</si>
  <si>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</si>
  <si>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</si>
  <si>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</si>
  <si>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</si>
  <si>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</si>
  <si>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</si>
  <si>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</si>
  <si>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</si>
  <si>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</si>
  <si>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</si>
  <si>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</si>
  <si>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</si>
  <si>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</si>
  <si>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</si>
  <si>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</si>
  <si>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</si>
  <si>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</si>
  <si>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</si>
  <si>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</si>
  <si>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</si>
  <si>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</si>
  <si>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</si>
  <si>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</si>
  <si>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</si>
  <si>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</si>
  <si>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</si>
  <si>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</si>
  <si>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</si>
  <si>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</si>
  <si>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</si>
  <si>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</si>
  <si>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</si>
  <si>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</si>
  <si>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</si>
  <si>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</si>
  <si>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</si>
  <si>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</si>
  <si>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</si>
  <si>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</si>
  <si>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</si>
  <si>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</si>
  <si>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</si>
  <si>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</si>
  <si>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</si>
  <si>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</si>
  <si>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</si>
  <si>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</si>
  <si>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</si>
  <si>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</si>
  <si>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</si>
  <si>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</si>
  <si>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</si>
  <si>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</si>
  <si>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</si>
  <si>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</si>
  <si>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</si>
  <si>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</si>
  <si>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</si>
  <si>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</si>
  <si>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</si>
  <si>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</si>
  <si>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</si>
  <si>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</si>
  <si>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</si>
  <si>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</si>
  <si>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</si>
  <si>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</si>
  <si>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</si>
  <si>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</si>
  <si>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</si>
  <si>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</si>
  <si>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</si>
  <si>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</si>
  <si>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</si>
  <si>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</si>
  <si>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</si>
  <si>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</si>
  <si>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</si>
  <si>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</si>
  <si>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</si>
  <si>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</si>
  <si>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</si>
  <si>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</si>
  <si>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</si>
  <si>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</si>
  <si>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</si>
  <si>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</si>
  <si>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</si>
  <si>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</si>
  <si>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</si>
  <si>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</si>
  <si>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</si>
  <si>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</si>
  <si>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</si>
  <si>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</si>
  <si>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</si>
  <si>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</si>
  <si>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</si>
  <si>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</si>
  <si>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</si>
  <si>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</si>
  <si>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</si>
  <si>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</si>
  <si>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</si>
  <si>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</si>
  <si>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</si>
  <si>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</si>
  <si>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</si>
  <si>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</si>
  <si>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</si>
  <si>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</si>
  <si>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</si>
  <si>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</si>
  <si>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</si>
  <si>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</si>
  <si>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</si>
  <si>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</si>
  <si>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</si>
  <si>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</si>
  <si>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</si>
  <si>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</si>
  <si>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</si>
  <si>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</si>
  <si>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</si>
  <si>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</si>
  <si>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</si>
  <si>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</si>
  <si>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</si>
  <si>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</si>
  <si>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</si>
  <si>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</si>
  <si>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</si>
  <si>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</si>
  <si>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</si>
  <si>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</si>
  <si>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</si>
  <si>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</si>
  <si>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</si>
  <si>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</si>
  <si>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</si>
  <si>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</si>
  <si>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</si>
  <si>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</si>
  <si>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</si>
  <si>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</si>
  <si>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</si>
  <si>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</si>
  <si>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</si>
  <si>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</si>
  <si>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</si>
  <si>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</si>
  <si>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</si>
  <si>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</si>
  <si>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</si>
  <si>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</si>
  <si>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</si>
  <si>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</si>
  <si>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</si>
  <si>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</si>
  <si>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</si>
  <si>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</si>
  <si>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</si>
  <si>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</si>
  <si>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</si>
  <si>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</si>
  <si>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</si>
  <si>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</si>
  <si>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</si>
  <si>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</si>
  <si>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</si>
  <si>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</si>
  <si>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</si>
  <si>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</si>
  <si>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</si>
  <si>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</si>
  <si>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</si>
  <si>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</si>
  <si>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</si>
  <si>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</si>
  <si>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</si>
  <si>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</si>
  <si>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</si>
  <si>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</si>
  <si>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</si>
  <si>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</si>
  <si>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</si>
  <si>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</si>
  <si>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</si>
  <si>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</si>
  <si>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</si>
  <si>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</si>
  <si>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</si>
  <si>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</si>
  <si>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</si>
  <si>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</si>
  <si>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</si>
  <si>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</si>
  <si>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</si>
  <si>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</si>
  <si>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</si>
  <si>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</si>
  <si>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</si>
  <si>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</si>
  <si>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</si>
  <si>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</si>
  <si>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</si>
  <si>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</si>
  <si>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</si>
  <si>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</si>
  <si>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</si>
  <si>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</si>
  <si>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</si>
  <si>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</si>
  <si>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</si>
  <si>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</si>
  <si>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</si>
  <si>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</si>
  <si>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</si>
  <si>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</si>
  <si>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</si>
  <si>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</si>
  <si>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</si>
  <si>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</si>
  <si>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</si>
  <si>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</si>
  <si>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</si>
  <si>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</si>
  <si>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</si>
  <si>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</si>
  <si>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</si>
  <si>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</si>
  <si>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</si>
  <si>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</si>
  <si>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</si>
  <si>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</si>
  <si>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</si>
  <si>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</si>
  <si>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</si>
  <si>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</si>
  <si>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</si>
  <si>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</si>
  <si>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</si>
  <si>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</si>
  <si>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</si>
  <si>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</si>
  <si>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</si>
  <si>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</si>
  <si>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</si>
  <si>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</si>
  <si>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</si>
  <si>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</si>
  <si>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</si>
  <si>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</si>
  <si>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</si>
  <si>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</si>
  <si>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</si>
  <si>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</si>
  <si>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</si>
  <si>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</si>
  <si>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</si>
  <si>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</si>
  <si>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</si>
  <si>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</si>
  <si>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</si>
  <si>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</si>
  <si>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</si>
  <si>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</si>
  <si>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</si>
  <si>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</si>
  <si>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</si>
  <si>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</si>
  <si>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</si>
  <si>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</si>
  <si>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</si>
  <si>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</si>
  <si>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</si>
  <si>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</si>
  <si>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</si>
  <si>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</si>
  <si>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</si>
  <si>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</si>
  <si>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</si>
  <si>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</si>
  <si>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</si>
  <si>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</si>
  <si>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</si>
  <si>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</si>
  <si>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</si>
  <si>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</si>
  <si>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</si>
  <si>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</si>
  <si>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</si>
  <si>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</si>
  <si>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</si>
  <si>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</si>
  <si>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</si>
  <si>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</si>
  <si>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</si>
  <si>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</si>
  <si>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</si>
  <si>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</si>
  <si>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</si>
  <si>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</si>
  <si>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</si>
  <si>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</si>
  <si>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</si>
  <si>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</si>
  <si>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</si>
  <si>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</si>
  <si>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</si>
  <si>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</si>
  <si>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</si>
  <si>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</si>
  <si>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</si>
  <si>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</si>
  <si>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</si>
  <si>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</si>
  <si>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</si>
  <si>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</si>
  <si>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</si>
  <si>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</si>
  <si>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</si>
  <si>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</si>
  <si>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</si>
  <si>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</si>
  <si>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</si>
  <si>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</si>
  <si>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</si>
  <si>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</si>
  <si>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</si>
  <si>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</si>
  <si>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</si>
  <si>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</si>
  <si>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</si>
  <si>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</si>
  <si>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</si>
  <si>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</si>
  <si>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</si>
  <si>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</si>
  <si>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</si>
  <si>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</si>
  <si>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</si>
  <si>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</si>
  <si>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</si>
  <si>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</si>
  <si>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</si>
  <si>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</si>
  <si>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</si>
  <si>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</si>
  <si>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</si>
  <si>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</si>
  <si>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</si>
  <si>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</si>
  <si>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</si>
  <si>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</si>
  <si>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</si>
  <si>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</si>
  <si>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</si>
  <si>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</si>
  <si>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</si>
  <si>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</si>
  <si>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</si>
  <si>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</si>
  <si>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</si>
  <si>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</si>
  <si>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</si>
  <si>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</si>
  <si>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</si>
  <si>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</si>
  <si>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</si>
  <si>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</si>
  <si>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</si>
  <si>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</si>
  <si>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</si>
  <si>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</si>
  <si>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</si>
  <si>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</si>
  <si>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</si>
  <si>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</si>
  <si>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</si>
  <si>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</si>
  <si>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</si>
  <si>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</si>
  <si>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</si>
  <si>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</si>
  <si>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</si>
  <si>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</si>
  <si>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</si>
  <si>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</si>
  <si>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</si>
  <si>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</si>
  <si>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</si>
  <si>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</si>
  <si>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</si>
  <si>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</si>
  <si>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</si>
  <si>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</si>
  <si>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</si>
  <si>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</si>
  <si>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</si>
  <si>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</si>
  <si>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</si>
  <si>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</si>
  <si>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</si>
  <si>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</si>
  <si>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</si>
  <si>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</si>
  <si>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</si>
  <si>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</si>
  <si>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</si>
  <si>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</si>
  <si>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</si>
  <si>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</si>
  <si>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</si>
  <si>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</si>
  <si>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</si>
  <si>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</si>
  <si>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</si>
  <si>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</si>
  <si>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</si>
  <si>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</si>
  <si>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</si>
  <si>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</si>
  <si>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</si>
  <si>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</si>
  <si>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</si>
  <si>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</si>
  <si>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</si>
  <si>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</si>
  <si>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</si>
  <si>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</si>
  <si>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</si>
  <si>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</si>
  <si>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</si>
  <si>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</si>
  <si>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</si>
  <si>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</si>
  <si>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</si>
  <si>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</si>
  <si>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</si>
  <si>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</si>
  <si>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</si>
  <si>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</si>
  <si>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</si>
  <si>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</si>
  <si>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</si>
  <si>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</si>
  <si>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</si>
  <si>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</si>
  <si>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</si>
  <si>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</si>
  <si>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</si>
  <si>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</si>
  <si>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</si>
  <si>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</si>
  <si>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</si>
  <si>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</si>
  <si>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</si>
  <si>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</si>
  <si>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</si>
  <si>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</si>
  <si>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</si>
  <si>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</si>
  <si>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</si>
  <si>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</si>
  <si>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</si>
  <si>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</si>
  <si>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</si>
  <si>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</si>
  <si>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</si>
  <si>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</si>
  <si>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</si>
  <si>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</si>
  <si>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</si>
  <si>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</si>
  <si>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</si>
  <si>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</si>
  <si>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</si>
  <si>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</si>
  <si>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</si>
  <si>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</si>
  <si>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</si>
  <si>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</si>
  <si>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</si>
  <si>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</si>
  <si>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</si>
  <si>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</si>
  <si>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</si>
  <si>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</si>
  <si>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</si>
  <si>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</si>
  <si>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</si>
  <si>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</si>
  <si>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</si>
  <si>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</si>
  <si>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</si>
  <si>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</si>
  <si>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</si>
  <si>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</si>
  <si>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</si>
  <si>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</si>
  <si>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</si>
  <si>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</si>
  <si>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</si>
  <si>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</si>
  <si>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</si>
  <si>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</si>
  <si>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</si>
  <si>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</si>
  <si>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</si>
  <si>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</si>
  <si>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</si>
  <si>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</si>
  <si>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</si>
  <si>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</si>
  <si>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</si>
  <si>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</si>
  <si>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</si>
  <si>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</si>
  <si>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</si>
  <si>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</si>
  <si>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</si>
  <si>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</si>
  <si>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</si>
  <si>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</si>
  <si>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</si>
  <si>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</si>
  <si>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</si>
  <si>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</si>
  <si>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</si>
  <si>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</si>
  <si>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</si>
  <si>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</si>
  <si>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</si>
  <si>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</si>
  <si>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</si>
  <si>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</si>
  <si>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</si>
  <si>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</si>
  <si>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</si>
  <si>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</si>
  <si>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</si>
  <si>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</si>
  <si>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</si>
  <si>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</si>
  <si>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</si>
  <si>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</si>
  <si>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</si>
  <si>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</si>
  <si>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</si>
  <si>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</si>
  <si>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</si>
  <si>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</si>
  <si>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</si>
  <si>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</si>
  <si>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</si>
  <si>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</si>
  <si>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</si>
  <si>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</si>
  <si>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</si>
  <si>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</si>
  <si>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</si>
  <si>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</si>
  <si>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</si>
  <si>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</si>
  <si>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</si>
  <si>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</si>
  <si>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</si>
  <si>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</si>
  <si>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</si>
  <si>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</si>
  <si>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</si>
  <si>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</si>
  <si>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</si>
  <si>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</si>
  <si>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</si>
  <si>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</si>
  <si>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</si>
  <si>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</si>
  <si>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</si>
  <si>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</si>
  <si>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</si>
  <si>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</si>
  <si>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</si>
  <si>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</si>
  <si>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</si>
  <si>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</si>
  <si>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</si>
  <si>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</si>
  <si>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</si>
  <si>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</si>
  <si>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</si>
  <si>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</si>
  <si>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</si>
  <si>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</si>
  <si>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</si>
  <si>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</si>
  <si>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</si>
  <si>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</si>
  <si>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</si>
  <si>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</si>
  <si>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</si>
  <si>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</si>
  <si>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</si>
  <si>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</si>
  <si>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</si>
  <si>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</si>
  <si>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</si>
  <si>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</si>
  <si>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</si>
  <si>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</si>
  <si>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</si>
  <si>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</si>
  <si>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</si>
  <si>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</si>
  <si>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</si>
  <si>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</si>
  <si>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</si>
  <si>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</si>
  <si>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</si>
  <si>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</si>
  <si>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</si>
  <si>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</si>
  <si>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</si>
  <si>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</si>
  <si>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</si>
  <si>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</si>
  <si>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</si>
  <si>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</si>
  <si>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</si>
  <si>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</si>
  <si>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</si>
  <si>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</si>
  <si>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</si>
  <si>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</si>
  <si>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</si>
  <si>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</si>
  <si>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</si>
  <si>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</si>
  <si>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</si>
  <si>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</si>
  <si>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</si>
  <si>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</si>
  <si>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</si>
  <si>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</si>
  <si>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</si>
  <si>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</si>
  <si>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</si>
  <si>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</si>
  <si>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</si>
  <si>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</si>
  <si>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</si>
  <si>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</si>
  <si>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</si>
  <si>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</si>
  <si>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</si>
  <si>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</si>
  <si>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</si>
  <si>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</si>
  <si>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</si>
  <si>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</si>
  <si>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</si>
  <si>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</si>
  <si>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</si>
  <si>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</si>
  <si>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</si>
  <si>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</si>
  <si>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</si>
  <si>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</si>
  <si>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</si>
  <si>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</si>
  <si>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</si>
  <si>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</si>
  <si>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</si>
  <si>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</si>
  <si>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</si>
  <si>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</si>
  <si>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</si>
  <si>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</si>
  <si>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</si>
  <si>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</si>
  <si>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</si>
  <si>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</si>
  <si>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</si>
  <si>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</si>
  <si>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</si>
  <si>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</si>
  <si>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</si>
  <si>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</si>
  <si>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</si>
  <si>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</si>
  <si>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</si>
  <si>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</si>
  <si>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</si>
  <si>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</si>
  <si>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</si>
  <si>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</si>
  <si>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</si>
  <si>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</si>
  <si>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</si>
  <si>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</si>
  <si>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</si>
  <si>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</si>
  <si>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</si>
  <si>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</si>
  <si>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</si>
  <si>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</si>
  <si>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</si>
  <si>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</si>
  <si>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</si>
  <si>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</si>
  <si>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</si>
  <si>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</si>
  <si>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</si>
  <si>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</si>
  <si>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</si>
  <si>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</si>
  <si>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</si>
  <si>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</si>
  <si>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</si>
  <si>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</si>
  <si>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</si>
  <si>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</si>
  <si>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</si>
  <si>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</si>
  <si>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</si>
  <si>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</si>
  <si>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</si>
  <si>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</si>
  <si>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</si>
  <si>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</si>
  <si>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</si>
  <si>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</si>
  <si>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</si>
  <si>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</si>
  <si>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</si>
  <si>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</si>
  <si>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</si>
  <si>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</si>
  <si>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</si>
  <si>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</si>
  <si>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</si>
  <si>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</si>
  <si>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</si>
  <si>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</si>
  <si>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</si>
  <si>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</si>
  <si>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</si>
  <si>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</si>
  <si>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</si>
  <si>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</si>
  <si>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</si>
  <si>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</si>
  <si>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</si>
  <si>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</si>
  <si>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</si>
  <si>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</si>
  <si>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</si>
  <si>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</si>
  <si>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</si>
  <si>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</si>
  <si>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</si>
  <si>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</si>
  <si>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</si>
  <si>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</si>
  <si>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</si>
  <si>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</si>
  <si>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</si>
  <si>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</si>
  <si>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</si>
  <si>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</si>
  <si>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</si>
  <si>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</si>
  <si>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</si>
  <si>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</si>
  <si>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</si>
  <si>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</si>
  <si>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</si>
  <si>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</si>
  <si>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</si>
  <si>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</si>
  <si>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</si>
  <si>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</si>
  <si>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</si>
  <si>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</si>
  <si>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</si>
  <si>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</si>
  <si>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</si>
  <si>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</si>
  <si>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</si>
  <si>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</si>
  <si>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</si>
  <si>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</si>
  <si>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</si>
  <si>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</si>
  <si>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</si>
  <si>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</si>
  <si>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</si>
  <si>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</si>
  <si>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</si>
  <si>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</si>
  <si>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</si>
  <si>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</si>
  <si>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</si>
  <si>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</si>
  <si>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</si>
  <si>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</si>
  <si>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</si>
  <si>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</si>
  <si>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</si>
  <si>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</si>
  <si>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</si>
  <si>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</si>
  <si>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</si>
  <si>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</si>
  <si>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</si>
  <si>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</si>
  <si>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</si>
  <si>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</si>
  <si>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</si>
  <si>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</si>
  <si>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</si>
  <si>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</si>
  <si>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</si>
  <si>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</si>
  <si>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</si>
  <si>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</si>
  <si>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</si>
  <si>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</si>
  <si>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</si>
  <si>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</si>
  <si>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</si>
  <si>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</si>
  <si>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</si>
  <si>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</si>
  <si>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</si>
  <si>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</si>
  <si>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</si>
  <si>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</si>
  <si>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</si>
  <si>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</si>
  <si>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</si>
  <si>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</si>
  <si>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</si>
  <si>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</si>
  <si>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</si>
  <si>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</si>
  <si>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</si>
  <si>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</si>
  <si>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</si>
  <si>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</si>
  <si>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</si>
  <si>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</si>
  <si>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</si>
  <si>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</si>
  <si>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</si>
  <si>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</si>
  <si>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</si>
  <si>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</si>
  <si>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</si>
  <si>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</si>
  <si>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</si>
  <si>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</si>
  <si>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</si>
  <si>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</si>
  <si>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</si>
  <si>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</si>
  <si>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</si>
  <si>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</si>
  <si>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</si>
  <si>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</si>
  <si>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</si>
  <si>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</si>
  <si>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</si>
  <si>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</si>
  <si>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</si>
  <si>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</si>
  <si>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</si>
  <si>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</si>
  <si>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</si>
  <si>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</si>
  <si>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</si>
  <si>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</si>
  <si>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</si>
  <si>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</si>
  <si>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</si>
  <si>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</si>
  <si>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</si>
  <si>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</si>
  <si>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</si>
  <si>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</si>
  <si>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</si>
  <si>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</si>
  <si>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</si>
  <si>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</si>
  <si>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</si>
  <si>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</si>
  <si>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</si>
  <si>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</si>
  <si>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</si>
  <si>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</si>
  <si>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</si>
  <si>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</si>
  <si>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</si>
  <si>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</si>
  <si>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</si>
  <si>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</si>
  <si>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</si>
  <si>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</si>
  <si>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</si>
  <si>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</si>
  <si>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</si>
  <si>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</si>
  <si>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</si>
  <si>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</si>
  <si>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</si>
  <si>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</si>
  <si>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</si>
  <si>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</si>
  <si>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</si>
  <si>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</si>
  <si>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</si>
  <si>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</si>
  <si>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</si>
  <si>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</si>
  <si>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</si>
  <si>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</si>
  <si>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</si>
  <si>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</si>
  <si>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</si>
  <si>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</si>
  <si>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</si>
  <si>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</si>
  <si>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</si>
  <si>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</si>
  <si>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</si>
  <si>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</si>
  <si>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</si>
  <si>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</si>
  <si>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</si>
  <si>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</si>
  <si>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</si>
  <si>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</si>
  <si>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</si>
  <si>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</si>
  <si>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</si>
  <si>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</si>
  <si>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</si>
  <si>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</si>
  <si>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</si>
  <si>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</si>
  <si>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</si>
  <si>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</si>
  <si>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</si>
  <si>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</si>
  <si>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</si>
  <si>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</si>
  <si>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</si>
  <si>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</si>
  <si>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</si>
  <si>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</si>
  <si>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</si>
  <si>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</si>
  <si>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</si>
  <si>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</si>
  <si>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</si>
  <si>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</si>
  <si>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</si>
  <si>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</si>
  <si>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</si>
  <si>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</si>
  <si>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</si>
  <si>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</si>
  <si>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</si>
  <si>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</si>
  <si>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</si>
  <si>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</si>
  <si>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</si>
  <si>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</si>
  <si>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</si>
  <si>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</si>
  <si>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</si>
  <si>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</si>
  <si>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</si>
  <si>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</si>
  <si>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</si>
  <si>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</si>
  <si>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</si>
  <si>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</si>
  <si>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</si>
  <si>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</si>
  <si>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</si>
  <si>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</si>
  <si>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</si>
  <si>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</si>
  <si>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</si>
  <si>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</si>
  <si>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</si>
  <si>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</si>
  <si>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</si>
  <si>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</si>
  <si>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</si>
  <si>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</si>
  <si>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</si>
  <si>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</si>
  <si>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</si>
  <si>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</si>
  <si>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</si>
  <si>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</si>
  <si>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</si>
  <si>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</si>
  <si>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</si>
  <si>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</si>
  <si>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</si>
  <si>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</si>
  <si>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</si>
  <si>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</si>
  <si>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</si>
  <si>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</si>
  <si>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</si>
  <si>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</si>
  <si>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</si>
  <si>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</si>
  <si>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</si>
  <si>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</si>
  <si>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</si>
  <si>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</si>
  <si>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</si>
  <si>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</si>
  <si>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</si>
  <si>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</si>
  <si>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</si>
  <si>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</si>
  <si>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</si>
  <si>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</si>
  <si>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</si>
  <si>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</si>
  <si>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</si>
  <si>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</si>
  <si>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</si>
  <si>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</si>
  <si>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</si>
  <si>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</si>
  <si>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</si>
  <si>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</si>
  <si>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</si>
  <si>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</si>
  <si>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</si>
  <si>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</si>
  <si>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</si>
  <si>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</si>
  <si>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</si>
  <si>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</si>
  <si>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</si>
  <si>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</si>
  <si>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</si>
  <si>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</si>
  <si>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</si>
  <si>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</si>
  <si>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</si>
  <si>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</si>
  <si>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</si>
  <si>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</si>
  <si>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</si>
  <si>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</si>
  <si>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</si>
  <si>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</si>
  <si>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</si>
  <si>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</si>
  <si>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</si>
  <si>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</si>
  <si>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</si>
  <si>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</si>
  <si>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</si>
  <si>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</si>
  <si>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</si>
  <si>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</si>
  <si>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</si>
  <si>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</si>
  <si>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</si>
  <si>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</si>
  <si>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</si>
  <si>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</si>
  <si>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</si>
  <si>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</si>
  <si>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</si>
  <si>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</si>
  <si>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</si>
  <si>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</si>
  <si>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</si>
  <si>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</si>
  <si>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</si>
  <si>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</si>
  <si>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</si>
  <si>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</si>
  <si>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</si>
  <si>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</si>
  <si>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</si>
  <si>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</si>
  <si>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</si>
  <si>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</si>
  <si>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</si>
  <si>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</si>
  <si>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</si>
  <si>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</si>
  <si>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</si>
  <si>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</si>
  <si>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</si>
  <si>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</si>
  <si>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</si>
  <si>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</si>
  <si>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</si>
  <si>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</si>
  <si>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</si>
  <si>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</si>
  <si>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</si>
  <si>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</si>
  <si>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</si>
  <si>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</si>
  <si>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</si>
  <si>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</si>
  <si>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</si>
  <si>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</si>
  <si>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</si>
  <si>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</si>
  <si>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</si>
  <si>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</si>
  <si>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</si>
  <si>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</si>
  <si>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</si>
  <si>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</si>
  <si>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</si>
  <si>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</si>
  <si>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</si>
  <si>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</si>
  <si>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</si>
  <si>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</si>
  <si>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</si>
  <si>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</si>
  <si>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</si>
  <si>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</si>
  <si>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</si>
  <si>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</si>
  <si>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</si>
  <si>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</si>
  <si>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</si>
  <si>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</si>
  <si>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</si>
  <si>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</si>
  <si>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</si>
  <si>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</si>
  <si>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</si>
  <si>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</si>
  <si>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</si>
  <si>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</si>
  <si>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</si>
  <si>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</si>
  <si>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</si>
  <si>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</si>
  <si>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</si>
  <si>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</si>
  <si>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</si>
  <si>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</si>
  <si>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</si>
  <si>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</si>
  <si>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</si>
  <si>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</si>
  <si>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</si>
  <si>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</si>
  <si>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</si>
  <si>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</si>
  <si>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</si>
  <si>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</si>
  <si>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</si>
  <si>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</si>
  <si>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</si>
  <si>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</si>
  <si>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</si>
  <si>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</si>
  <si>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</si>
  <si>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</si>
  <si>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</si>
  <si>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</si>
  <si>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</si>
  <si>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</si>
  <si>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</si>
  <si>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</si>
  <si>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</si>
  <si>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</si>
  <si>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</si>
  <si>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</si>
  <si>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</si>
  <si>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</si>
  <si>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</si>
  <si>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</si>
  <si>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</si>
  <si>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</si>
  <si>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</si>
  <si>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</si>
  <si>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</si>
  <si>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</si>
  <si>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</si>
  <si>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</si>
  <si>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</si>
  <si>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</si>
  <si>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</si>
  <si>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</si>
  <si>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</si>
  <si>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</si>
  <si>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</si>
  <si>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</si>
  <si>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</si>
  <si>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</si>
  <si>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</si>
  <si>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</si>
  <si>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</si>
  <si>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</si>
  <si>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</si>
  <si>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</si>
  <si>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</si>
  <si>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</si>
  <si>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</si>
  <si>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</si>
  <si>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</si>
  <si>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</si>
  <si>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</si>
  <si>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</si>
  <si>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</si>
  <si>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</si>
  <si>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</si>
  <si>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</si>
  <si>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</si>
  <si>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</si>
  <si>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</si>
  <si>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</si>
  <si>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</si>
  <si>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</si>
  <si>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</si>
  <si>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</si>
  <si>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</si>
  <si>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</si>
  <si>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</si>
  <si>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</si>
  <si>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</si>
  <si>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</si>
  <si>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</si>
  <si>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</si>
  <si>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</si>
  <si>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</si>
  <si>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</si>
  <si>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</si>
  <si>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</si>
  <si>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</si>
  <si>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</si>
  <si>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</si>
  <si>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</si>
  <si>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</si>
  <si>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</si>
  <si>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</si>
  <si>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</si>
  <si>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</si>
  <si>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</si>
  <si>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</si>
  <si>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</si>
  <si>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</si>
  <si>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</si>
  <si>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</si>
  <si>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</si>
  <si>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</si>
  <si>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</si>
  <si>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</si>
  <si>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</si>
  <si>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</si>
  <si>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</si>
  <si>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</si>
  <si>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</si>
  <si>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</si>
  <si>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</si>
  <si>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</si>
  <si>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</si>
  <si>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</si>
  <si>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</si>
  <si>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</si>
  <si>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</si>
  <si>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</si>
  <si>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</si>
  <si>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</si>
  <si>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</si>
  <si>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</si>
  <si>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</si>
  <si>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</si>
  <si>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</si>
  <si>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</si>
  <si>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</si>
  <si>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</si>
  <si>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</si>
  <si>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</si>
  <si>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</si>
  <si>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</si>
  <si>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</si>
  <si>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</si>
  <si>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</si>
  <si>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</si>
  <si>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</si>
  <si>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</si>
  <si>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</si>
  <si>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</si>
  <si>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</si>
  <si>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</si>
  <si>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</si>
  <si>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</si>
  <si>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</si>
  <si>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</si>
  <si>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</si>
  <si>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</si>
  <si>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</si>
  <si>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</si>
  <si>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</si>
  <si>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</si>
  <si>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</si>
  <si>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</si>
  <si>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</si>
  <si>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</si>
  <si>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</si>
  <si>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</si>
  <si>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</si>
  <si>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</si>
  <si>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</si>
  <si>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</si>
  <si>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</si>
  <si>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</si>
  <si>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</si>
  <si>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</si>
  <si>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</si>
  <si>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</si>
  <si>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</si>
  <si>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</si>
  <si>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</si>
  <si>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</si>
  <si>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</si>
  <si>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</si>
  <si>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</si>
  <si>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</si>
  <si>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</si>
  <si>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</si>
  <si>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</si>
  <si>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</si>
  <si>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</si>
  <si>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</si>
  <si>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</si>
  <si>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</si>
  <si>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</si>
  <si>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</si>
  <si>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</si>
  <si>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</si>
  <si>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</si>
  <si>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</si>
  <si>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</si>
  <si>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</si>
  <si>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</si>
  <si>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</si>
  <si>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</si>
  <si>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</si>
  <si>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</si>
  <si>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</si>
  <si>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</si>
  <si>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</si>
  <si>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</si>
  <si>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</si>
  <si>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</si>
  <si>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</si>
  <si>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</si>
  <si>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</si>
  <si>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</si>
  <si>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</si>
  <si>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</si>
  <si>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</si>
  <si>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</si>
  <si>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</si>
  <si>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</si>
  <si>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</si>
  <si>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</si>
  <si>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</si>
  <si>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</si>
  <si>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</si>
  <si>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</si>
  <si>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</si>
  <si>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</si>
  <si>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</si>
  <si>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</si>
  <si>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</si>
  <si>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</si>
  <si>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</si>
  <si>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</si>
  <si>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</si>
  <si>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</si>
  <si>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</si>
  <si>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</si>
  <si>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</si>
  <si>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</si>
  <si>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</si>
  <si>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</si>
  <si>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</si>
  <si>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</si>
  <si>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</si>
  <si>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</si>
  <si>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</si>
  <si>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</si>
  <si>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</si>
  <si>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</si>
  <si>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</si>
  <si>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</si>
  <si>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</si>
  <si>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</si>
  <si>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</si>
  <si>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</si>
  <si>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</si>
  <si>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</si>
  <si>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</si>
  <si>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</si>
  <si>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</si>
  <si>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</si>
  <si>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</si>
  <si>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</si>
  <si>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</si>
  <si>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</si>
  <si>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</si>
  <si>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</si>
  <si>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</si>
  <si>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</si>
  <si>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</si>
  <si>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</si>
  <si>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</si>
  <si>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</si>
  <si>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</si>
  <si>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</si>
  <si>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</si>
  <si>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</si>
  <si>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</si>
  <si>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</si>
  <si>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</si>
  <si>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</si>
  <si>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</si>
  <si>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</si>
  <si>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</si>
  <si>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</si>
  <si>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</si>
  <si>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</si>
  <si>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</si>
  <si>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</si>
  <si>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</si>
  <si>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</si>
  <si>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</si>
  <si>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</si>
  <si>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</si>
  <si>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</si>
  <si>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</si>
  <si>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</si>
  <si>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</si>
  <si>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</si>
  <si>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</si>
  <si>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</si>
  <si>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</si>
  <si>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</si>
  <si>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</si>
  <si>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</si>
  <si>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</si>
  <si>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</si>
  <si>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</si>
  <si>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</si>
  <si>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</si>
  <si>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</si>
  <si>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</si>
  <si>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</si>
  <si>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</si>
  <si>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</si>
  <si>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</si>
  <si>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</si>
  <si>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</si>
  <si>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</si>
  <si>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</si>
  <si>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</si>
  <si>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</si>
  <si>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</si>
  <si>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</si>
  <si>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</si>
  <si>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</si>
  <si>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</si>
  <si>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</si>
  <si>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</si>
  <si>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</si>
  <si>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</si>
  <si>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</si>
  <si>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</si>
  <si>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</si>
  <si>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</si>
  <si>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</si>
  <si>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</si>
  <si>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</si>
  <si>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</si>
  <si>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</si>
  <si>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</si>
  <si>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</si>
  <si>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</si>
  <si>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</si>
  <si>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</si>
  <si>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</si>
  <si>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</si>
  <si>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</si>
  <si>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</si>
  <si>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</si>
  <si>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</si>
  <si>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</si>
  <si>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</si>
  <si>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</si>
  <si>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</si>
  <si>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</si>
  <si>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</si>
  <si>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</si>
  <si>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</si>
  <si>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</si>
  <si>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</si>
  <si>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</si>
  <si>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</si>
  <si>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</si>
  <si>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</si>
  <si>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</si>
  <si>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</si>
  <si>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</si>
  <si>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</si>
  <si>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</si>
  <si>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</si>
  <si>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</si>
  <si>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</si>
  <si>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</si>
  <si>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</si>
  <si>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</si>
  <si>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</si>
  <si>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</si>
  <si>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</si>
  <si>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</si>
  <si>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</si>
  <si>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</si>
  <si>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</si>
  <si>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</si>
  <si>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</si>
  <si>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</si>
  <si>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</si>
  <si>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</si>
  <si>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</si>
  <si>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</si>
  <si>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</si>
  <si>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</si>
  <si>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</si>
  <si>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</si>
  <si>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</si>
  <si>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</si>
  <si>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</si>
  <si>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</si>
  <si>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</si>
  <si>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</si>
  <si>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</si>
  <si>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</si>
  <si>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</si>
  <si>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</si>
  <si>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</si>
  <si>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</si>
  <si>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</si>
  <si>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</si>
  <si>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</si>
  <si>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</si>
  <si>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</si>
  <si>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</si>
  <si>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</si>
  <si>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</si>
  <si>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</si>
  <si>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</si>
  <si>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</si>
  <si>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</si>
  <si>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</si>
  <si>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</si>
  <si>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</si>
  <si>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</si>
  <si>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</si>
  <si>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</si>
  <si>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</si>
  <si>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</si>
  <si>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</si>
  <si>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</si>
  <si>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</si>
  <si>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</si>
  <si>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</si>
  <si>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</si>
  <si>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</si>
  <si>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</si>
  <si>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</si>
  <si>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</si>
  <si>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</si>
  <si>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</si>
  <si>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</si>
  <si>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</si>
  <si>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</si>
  <si>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</si>
  <si>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</si>
  <si>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</si>
  <si>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</si>
  <si>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</si>
  <si>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</si>
  <si>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</si>
  <si>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</si>
  <si>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</si>
  <si>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</si>
  <si>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</si>
  <si>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</si>
  <si>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</si>
  <si>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</si>
  <si>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</si>
  <si>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</si>
  <si>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</si>
  <si>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</si>
  <si>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</si>
  <si>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</si>
  <si>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</si>
  <si>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</si>
  <si>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</si>
  <si>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</si>
  <si>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</si>
  <si>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</si>
  <si>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</si>
  <si>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</si>
  <si>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</si>
  <si>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</si>
  <si>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</si>
  <si>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</si>
  <si>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</si>
  <si>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</si>
  <si>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</si>
  <si>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</si>
  <si>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</si>
  <si>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</si>
  <si>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</si>
  <si>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</si>
  <si>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</si>
  <si>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</si>
  <si>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</si>
  <si>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</si>
  <si>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</si>
  <si>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</si>
  <si>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</si>
  <si>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</si>
  <si>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</si>
  <si>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</si>
  <si>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</si>
  <si>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</si>
  <si>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</si>
  <si>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</si>
  <si>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</si>
  <si>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</si>
  <si>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</si>
  <si>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</si>
  <si>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</si>
  <si>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</si>
  <si>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</si>
  <si>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</si>
  <si>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</si>
  <si>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</si>
  <si>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</si>
  <si>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</si>
  <si>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</si>
  <si>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</si>
  <si>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</si>
  <si>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</si>
  <si>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</si>
  <si>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</si>
  <si>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</si>
  <si>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</si>
  <si>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</si>
  <si>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</si>
  <si>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</si>
  <si>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</si>
  <si>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</si>
  <si>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</si>
  <si>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</si>
  <si>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</si>
  <si>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</si>
  <si>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</si>
  <si>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</si>
  <si>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</si>
  <si>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</si>
  <si>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</si>
  <si>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</si>
  <si>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</si>
  <si>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</si>
  <si>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</si>
  <si>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</si>
  <si>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</si>
  <si>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</si>
  <si>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</si>
  <si>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</si>
  <si>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</si>
  <si>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</si>
  <si>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</si>
  <si>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</si>
  <si>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</si>
  <si>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</si>
  <si>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</si>
  <si>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</si>
  <si>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</si>
  <si>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</si>
  <si>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</si>
  <si>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</si>
  <si>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</si>
  <si>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</si>
  <si>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</si>
  <si>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</si>
  <si>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</si>
  <si>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</si>
  <si>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</si>
  <si>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</si>
  <si>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</si>
  <si>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</si>
  <si>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</si>
  <si>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</si>
  <si>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</si>
  <si>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</si>
  <si>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</si>
  <si>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</si>
  <si>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</si>
  <si>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</si>
  <si>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</si>
  <si>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</si>
  <si>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</si>
  <si>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</si>
  <si>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</si>
  <si>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</si>
  <si>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</si>
  <si>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</si>
  <si>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</si>
  <si>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</si>
  <si>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</si>
  <si>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</si>
  <si>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</si>
  <si>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</si>
  <si>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</si>
  <si>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</si>
  <si>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</si>
  <si>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</si>
  <si>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</si>
  <si>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</si>
  <si>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</si>
  <si>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</si>
  <si>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</si>
  <si>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</si>
  <si>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</si>
  <si>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</si>
  <si>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</si>
  <si>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</si>
  <si>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</si>
  <si>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</si>
  <si>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</si>
  <si>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</si>
  <si>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</si>
  <si>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</si>
  <si>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</si>
  <si>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</si>
  <si>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</si>
  <si>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</si>
  <si>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</si>
  <si>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</si>
  <si>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</si>
  <si>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</si>
  <si>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</si>
  <si>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</si>
  <si>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</si>
  <si>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</si>
  <si>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</si>
  <si>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</si>
  <si>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</si>
  <si>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</si>
  <si>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</si>
  <si>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</si>
  <si>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</si>
  <si>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</si>
  <si>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</si>
  <si>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</si>
  <si>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</si>
  <si>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</si>
  <si>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</si>
  <si>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</si>
  <si>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</si>
  <si>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</si>
  <si>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</si>
  <si>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</si>
  <si>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</si>
  <si>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</si>
  <si>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</si>
  <si>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</si>
  <si>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</si>
  <si>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</si>
  <si>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</si>
  <si>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</si>
  <si>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</si>
  <si>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</si>
  <si>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</si>
  <si>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</si>
  <si>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</si>
  <si>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</si>
  <si>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</si>
  <si>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</si>
  <si>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</si>
  <si>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</si>
  <si>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</si>
  <si>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</si>
  <si>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</si>
  <si>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</si>
  <si>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</si>
  <si>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</si>
  <si>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</si>
  <si>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</si>
  <si>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</si>
  <si>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</si>
  <si>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</si>
  <si>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</si>
  <si>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</si>
  <si>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</si>
  <si>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</si>
  <si>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</si>
  <si>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</si>
  <si>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</si>
  <si>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</si>
  <si>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</si>
  <si>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</si>
  <si>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</si>
  <si>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</si>
  <si>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</si>
  <si>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</si>
  <si>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</si>
  <si>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</si>
  <si>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</si>
  <si>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</si>
  <si>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</si>
  <si>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</si>
  <si>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</si>
  <si>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</si>
  <si>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</si>
  <si>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</si>
  <si>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</si>
  <si>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</si>
  <si>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</si>
  <si>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</si>
  <si>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</si>
  <si>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</si>
  <si>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</si>
  <si>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</si>
  <si>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</si>
  <si>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</si>
  <si>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</si>
  <si>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</si>
  <si>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</si>
  <si>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</si>
  <si>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</si>
  <si>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</si>
  <si>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</si>
  <si>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</si>
  <si>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</si>
  <si>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</si>
  <si>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</si>
  <si>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</si>
  <si>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</si>
  <si>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</si>
  <si>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</si>
  <si>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</si>
  <si>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</si>
  <si>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</si>
  <si>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</si>
  <si>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</si>
  <si>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</si>
  <si>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</si>
  <si>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</si>
  <si>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</si>
  <si>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</si>
  <si>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</si>
  <si>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</si>
  <si>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</si>
  <si>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</si>
  <si>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</si>
  <si>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</si>
  <si>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</si>
  <si>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</si>
  <si>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</si>
  <si>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</si>
  <si>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</si>
  <si>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</si>
  <si>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</si>
  <si>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</si>
  <si>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</si>
  <si>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</si>
  <si>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</si>
  <si>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</si>
  <si>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</si>
  <si>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</si>
  <si>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</si>
  <si>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</si>
  <si>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</si>
  <si>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</si>
  <si>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</si>
  <si>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</si>
  <si>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</si>
  <si>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</si>
  <si>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</si>
  <si>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</si>
  <si>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</si>
  <si>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</si>
  <si>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</si>
  <si>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</si>
  <si>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</si>
  <si>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</si>
  <si>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</si>
  <si>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</si>
  <si>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</si>
  <si>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</si>
  <si>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</si>
  <si>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</si>
  <si>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</si>
  <si>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</si>
  <si>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</si>
  <si>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</si>
  <si>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</si>
  <si>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</si>
  <si>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</si>
  <si>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</si>
  <si>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</si>
  <si>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</si>
  <si>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</si>
  <si>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</si>
  <si>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</si>
  <si>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</si>
  <si>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</si>
  <si>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</si>
  <si>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</si>
  <si>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</si>
  <si>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</si>
  <si>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</si>
  <si>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</si>
  <si>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</si>
  <si>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</si>
  <si>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</si>
  <si>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</si>
  <si>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</si>
  <si>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</si>
  <si>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</si>
  <si>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</si>
  <si>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</si>
  <si>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</si>
  <si>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</si>
  <si>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</si>
  <si>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</si>
  <si>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</si>
  <si>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</si>
  <si>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</si>
  <si>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</si>
  <si>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</si>
  <si>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</si>
  <si>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</si>
  <si>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</si>
  <si>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</si>
  <si>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</si>
  <si>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</si>
  <si>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</si>
  <si>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</si>
  <si>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</si>
  <si>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</si>
  <si>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</si>
  <si>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</si>
  <si>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</si>
  <si>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</si>
  <si>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</si>
  <si>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</si>
  <si>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</si>
  <si>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</si>
  <si>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</si>
  <si>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</si>
  <si>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</si>
  <si>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</si>
  <si>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</si>
  <si>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</si>
  <si>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</si>
  <si>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</si>
  <si>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</si>
  <si>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</si>
  <si>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</si>
  <si>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</si>
  <si>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</si>
  <si>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</si>
  <si>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</si>
  <si>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</si>
  <si>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</si>
  <si>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</si>
  <si>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</si>
  <si>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</si>
  <si>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</si>
  <si>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</si>
  <si>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</si>
  <si>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</si>
  <si>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</si>
  <si>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</si>
  <si>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</si>
  <si>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</si>
  <si>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</si>
  <si>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</si>
  <si>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</si>
  <si>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</si>
  <si>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</si>
  <si>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</si>
  <si>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</si>
  <si>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</si>
  <si>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</si>
  <si>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</si>
  <si>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</si>
  <si>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</si>
  <si>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</si>
  <si>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</si>
  <si>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</si>
  <si>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</si>
  <si>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</si>
  <si>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</si>
  <si>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</si>
  <si>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</si>
  <si>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</si>
  <si>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</si>
  <si>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</si>
  <si>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</si>
  <si>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</si>
  <si>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</si>
  <si>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</si>
  <si>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</si>
  <si>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</si>
  <si>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</si>
  <si>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</si>
  <si>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</si>
  <si>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</si>
  <si>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</si>
  <si>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</si>
  <si>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</si>
  <si>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</si>
  <si>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</si>
  <si>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</si>
  <si>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</si>
  <si>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</si>
  <si>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</si>
  <si>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</si>
  <si>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</si>
  <si>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</si>
  <si>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</si>
  <si>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</si>
  <si>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</si>
  <si>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</si>
  <si>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</si>
  <si>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</si>
  <si>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</si>
  <si>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</si>
  <si>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</si>
  <si>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</si>
  <si>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</si>
  <si>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</si>
  <si>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</si>
  <si>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</si>
  <si>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</si>
  <si>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</si>
  <si>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</si>
  <si>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</si>
  <si>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</si>
  <si>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</si>
  <si>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</si>
  <si>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</si>
  <si>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</si>
  <si>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</si>
  <si>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</si>
  <si>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</si>
  <si>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</si>
  <si>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</si>
  <si>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</si>
  <si>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</si>
  <si>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</si>
  <si>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</si>
  <si>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</si>
  <si>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</si>
  <si>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</si>
  <si>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</si>
  <si>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</si>
  <si>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</si>
  <si>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</si>
  <si>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</si>
  <si>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</si>
  <si>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</si>
  <si>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</si>
  <si>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</si>
  <si>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</si>
  <si>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</si>
  <si>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</si>
  <si>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</si>
  <si>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</si>
  <si>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</si>
  <si>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</si>
  <si>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</si>
  <si>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</si>
  <si>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</si>
  <si>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</si>
  <si>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</si>
  <si>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</si>
  <si>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</si>
  <si>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</si>
  <si>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</si>
  <si>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</si>
  <si>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</si>
  <si>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</si>
  <si>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</si>
  <si>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</si>
  <si>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</si>
  <si>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</si>
  <si>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</si>
  <si>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</si>
  <si>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</si>
  <si>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</si>
  <si>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</si>
  <si>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</si>
  <si>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</si>
  <si>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</si>
  <si>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</si>
  <si>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</si>
  <si>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</si>
  <si>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</si>
  <si>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</si>
  <si>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</si>
  <si>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</si>
  <si>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</si>
  <si>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</si>
  <si>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</si>
  <si>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</si>
  <si>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</si>
  <si>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</si>
  <si>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</si>
  <si>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</si>
  <si>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</si>
  <si>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</si>
  <si>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</si>
  <si>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</si>
  <si>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</si>
  <si>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</si>
  <si>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</si>
  <si>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</si>
  <si>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</si>
  <si>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</si>
  <si>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</si>
  <si>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</si>
  <si>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</si>
  <si>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</si>
  <si>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</si>
  <si>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</si>
  <si>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</si>
  <si>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</si>
  <si>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</si>
  <si>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</si>
  <si>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</si>
  <si>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</si>
  <si>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</si>
  <si>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</si>
  <si>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</si>
  <si>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</si>
  <si>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</si>
  <si>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</si>
  <si>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</si>
  <si>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</si>
  <si>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</si>
  <si>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</si>
  <si>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</si>
  <si>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</si>
  <si>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</si>
  <si>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</si>
  <si>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</si>
  <si>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</si>
  <si>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</si>
  <si>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</si>
  <si>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</si>
  <si>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</si>
  <si>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</si>
  <si>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</si>
  <si>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</si>
  <si>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</si>
  <si>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</si>
  <si>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</si>
  <si>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</si>
  <si>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</si>
  <si>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</si>
  <si>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</si>
  <si>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</si>
  <si>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</si>
  <si>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</si>
  <si>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</si>
  <si>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</si>
  <si>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</si>
  <si>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</si>
  <si>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</si>
  <si>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</si>
  <si>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</si>
  <si>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</si>
  <si>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</si>
  <si>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</si>
  <si>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</si>
  <si>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</si>
  <si>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</si>
  <si>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</si>
  <si>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</si>
  <si>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</si>
  <si>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</si>
  <si>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</si>
  <si>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</si>
  <si>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</si>
  <si>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</si>
  <si>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</si>
  <si>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</si>
  <si>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</si>
  <si>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</si>
  <si>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</si>
  <si>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</si>
  <si>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</si>
  <si>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</si>
  <si>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</si>
  <si>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</si>
  <si>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</si>
  <si>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</si>
  <si>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</si>
  <si>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</si>
  <si>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</si>
  <si>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</si>
  <si>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</si>
  <si>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</si>
  <si>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</si>
  <si>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</si>
  <si>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</si>
  <si>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</si>
  <si>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</si>
  <si>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</si>
  <si>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</si>
  <si>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</si>
  <si>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</si>
  <si>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</si>
  <si>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</si>
  <si>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</si>
  <si>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</si>
  <si>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</si>
  <si>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</si>
  <si>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</si>
  <si>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</si>
  <si>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</si>
  <si>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</si>
  <si>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</si>
  <si>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</si>
  <si>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</si>
  <si>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</si>
  <si>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</si>
  <si>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</si>
  <si>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</si>
  <si>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</si>
  <si>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</si>
  <si>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</si>
  <si>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</si>
  <si>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</si>
  <si>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</si>
  <si>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</si>
  <si>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</si>
  <si>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</si>
  <si>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</si>
  <si>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</si>
  <si>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</si>
  <si>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</si>
  <si>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</si>
  <si>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</si>
  <si>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</si>
  <si>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</si>
  <si>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</si>
  <si>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</si>
  <si>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</si>
  <si>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</si>
  <si>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</si>
  <si>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</si>
  <si>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</si>
  <si>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</si>
  <si>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</si>
  <si>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</si>
  <si>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</si>
  <si>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</si>
  <si>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</si>
  <si>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</si>
  <si>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</si>
  <si>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</si>
  <si>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</si>
  <si>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</si>
  <si>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</si>
  <si>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</si>
  <si>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</si>
  <si>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</si>
  <si>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</si>
  <si>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</si>
  <si>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</si>
  <si>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</si>
  <si>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</si>
  <si>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</si>
  <si>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</si>
  <si>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</si>
  <si>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</si>
  <si>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</si>
  <si>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</si>
  <si>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</si>
  <si>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</si>
  <si>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</si>
  <si>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</si>
  <si>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</si>
  <si>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</si>
  <si>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</si>
  <si>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</si>
  <si>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</si>
  <si>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</si>
  <si>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</si>
  <si>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</si>
  <si>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</si>
  <si>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</si>
  <si>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</si>
  <si>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</si>
  <si>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</si>
  <si>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</si>
  <si>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</si>
  <si>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</si>
  <si>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</si>
  <si>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</si>
  <si>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</si>
  <si>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</si>
  <si>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</si>
  <si>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</si>
  <si>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</si>
  <si>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</si>
  <si>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</si>
  <si>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</si>
  <si>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</si>
  <si>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</si>
  <si>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</si>
  <si>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</si>
  <si>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</si>
  <si>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</si>
  <si>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</si>
  <si>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</si>
  <si>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</si>
  <si>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</si>
  <si>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</si>
  <si>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</si>
  <si>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</si>
  <si>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</si>
  <si>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</si>
  <si>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</si>
  <si>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</si>
  <si>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</si>
  <si>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</si>
  <si>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</si>
  <si>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</si>
  <si>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</si>
  <si>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</si>
  <si>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</si>
  <si>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</si>
  <si>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</si>
  <si>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</si>
  <si>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</si>
  <si>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</si>
  <si>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</si>
  <si>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</si>
  <si>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</si>
  <si>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</si>
  <si>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</si>
  <si>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</si>
  <si>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</si>
  <si>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</si>
  <si>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</si>
  <si>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</si>
  <si>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</si>
  <si>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</si>
  <si>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</si>
  <si>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</si>
  <si>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</si>
  <si>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</si>
  <si>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</si>
  <si>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</si>
  <si>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</si>
  <si>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</si>
  <si>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</si>
  <si>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</si>
  <si>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</si>
  <si>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</si>
  <si>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</si>
  <si>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</si>
  <si>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</si>
  <si>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</si>
  <si>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</si>
  <si>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</si>
  <si>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</si>
  <si>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</si>
  <si>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</si>
  <si>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</si>
  <si>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</si>
  <si>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</si>
  <si>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</si>
  <si>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</si>
  <si>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</si>
  <si>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</si>
  <si>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</si>
  <si>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</si>
  <si>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</si>
  <si>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</si>
  <si>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</si>
  <si>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</si>
  <si>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</si>
  <si>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</si>
  <si>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</si>
  <si>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</si>
  <si>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</si>
  <si>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</si>
  <si>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</si>
  <si>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</si>
  <si>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</si>
  <si>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</si>
  <si>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</si>
  <si>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</si>
  <si>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</si>
  <si>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</si>
  <si>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</si>
  <si>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</si>
  <si>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</si>
  <si>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</si>
  <si>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</si>
  <si>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</si>
  <si>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</si>
  <si>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</si>
  <si>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</si>
  <si>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</si>
  <si>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</si>
  <si>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</si>
  <si>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</si>
  <si>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</si>
  <si>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</si>
  <si>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</si>
  <si>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</si>
  <si>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</si>
  <si>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</si>
  <si>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</si>
  <si>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</si>
  <si>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</si>
  <si>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</si>
  <si>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</si>
  <si>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</si>
  <si>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</si>
  <si>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</si>
  <si>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</si>
  <si>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</si>
  <si>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</si>
  <si>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</si>
  <si>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</si>
  <si>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</si>
  <si>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</si>
  <si>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</si>
  <si>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</si>
  <si>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</si>
  <si>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</si>
  <si>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</si>
  <si>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</si>
  <si>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</si>
  <si>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</si>
  <si>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</si>
  <si>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</si>
  <si>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</si>
  <si>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</si>
  <si>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</si>
  <si>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</si>
  <si>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</si>
  <si>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</si>
  <si>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</si>
  <si>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</si>
  <si>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</si>
  <si>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</si>
  <si>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</si>
  <si>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</si>
  <si>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</si>
  <si>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</si>
  <si>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</si>
  <si>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</si>
  <si>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</si>
  <si>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</si>
  <si>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</si>
  <si>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</si>
  <si>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</si>
  <si>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</si>
  <si>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</si>
  <si>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</si>
  <si>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</si>
  <si>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</si>
  <si>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</si>
  <si>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</si>
  <si>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</si>
  <si>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</si>
  <si>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</si>
  <si>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</si>
  <si>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</si>
  <si>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</si>
  <si>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</si>
  <si>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</si>
  <si>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</si>
  <si>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</si>
  <si>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</si>
  <si>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</si>
  <si>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</si>
  <si>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</si>
  <si>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</si>
  <si>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</si>
  <si>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</si>
  <si>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</si>
  <si>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</si>
  <si>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</si>
  <si>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</si>
  <si>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</si>
  <si>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</si>
  <si>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</si>
  <si>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</si>
  <si>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</si>
  <si>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</si>
  <si>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</si>
  <si>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</si>
  <si>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</si>
  <si>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</si>
  <si>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</si>
  <si>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</si>
  <si>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</si>
  <si>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</si>
  <si>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</si>
  <si>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</si>
  <si>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</si>
  <si>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</si>
  <si>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</si>
  <si>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</si>
  <si>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</si>
  <si>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</si>
  <si>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</si>
  <si>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</si>
  <si>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</si>
  <si>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</si>
  <si>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</si>
  <si>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</si>
  <si>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</si>
  <si>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</si>
  <si>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</si>
  <si>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</si>
  <si>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</si>
  <si>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</si>
  <si>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</si>
  <si>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</si>
  <si>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</si>
  <si>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</si>
  <si>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</si>
  <si>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</si>
  <si>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</si>
  <si>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</si>
  <si>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</si>
  <si>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</si>
  <si>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</si>
  <si>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</si>
  <si>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</si>
  <si>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</si>
  <si>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</si>
  <si>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</si>
  <si>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</si>
  <si>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</si>
  <si>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</si>
  <si>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</si>
  <si>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</si>
  <si>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</si>
  <si>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</si>
  <si>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</si>
  <si>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</si>
  <si>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</si>
  <si>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</si>
  <si>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</si>
  <si>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</si>
  <si>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</si>
  <si>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</si>
  <si>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</si>
  <si>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</si>
  <si>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</si>
  <si>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</si>
  <si>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</si>
  <si>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</si>
  <si>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</si>
  <si>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</si>
  <si>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</si>
  <si>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</si>
  <si>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</si>
  <si>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</si>
  <si>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</si>
  <si>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</si>
  <si>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</si>
  <si>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</si>
  <si>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</si>
  <si>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</si>
  <si>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</si>
  <si>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</si>
  <si>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</si>
  <si>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</si>
  <si>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</si>
  <si>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</si>
  <si>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</si>
  <si>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</si>
  <si>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</si>
  <si>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</si>
  <si>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</si>
  <si>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</si>
  <si>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</si>
  <si>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</si>
  <si>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</si>
  <si>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</si>
  <si>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</si>
  <si>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</si>
  <si>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</si>
  <si>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</si>
  <si>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</si>
  <si>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</si>
  <si>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</si>
  <si>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</si>
  <si>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</si>
  <si>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</si>
  <si>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</si>
  <si>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</si>
  <si>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</si>
  <si>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</si>
  <si>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</si>
  <si>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</si>
  <si>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</si>
  <si>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</si>
  <si>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</si>
  <si>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</si>
  <si>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</si>
  <si>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</si>
  <si>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</si>
  <si>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</si>
  <si>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</si>
  <si>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</si>
  <si>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</si>
  <si>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</si>
  <si>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</si>
  <si>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</si>
  <si>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</si>
  <si>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</si>
  <si>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</si>
  <si>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</si>
  <si>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</si>
  <si>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</si>
  <si>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</si>
  <si>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</si>
  <si>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</si>
  <si>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</si>
  <si>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</si>
  <si>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</si>
  <si>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</si>
  <si>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</si>
  <si>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</si>
  <si>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</si>
  <si>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</si>
  <si>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</si>
  <si>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</si>
  <si>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</si>
  <si>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</si>
  <si>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</si>
  <si>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</si>
  <si>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</si>
  <si>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</si>
  <si>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</si>
  <si>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</si>
  <si>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</si>
  <si>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</si>
  <si>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</si>
  <si>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</si>
  <si>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</si>
  <si>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</si>
  <si>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</si>
  <si>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</si>
  <si>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</si>
  <si>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</si>
  <si>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</si>
  <si>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</si>
  <si>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</si>
  <si>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</si>
  <si>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</si>
  <si>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</si>
  <si>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</si>
  <si>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</si>
  <si>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</si>
  <si>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</si>
  <si>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</si>
  <si>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</si>
  <si>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</si>
  <si>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</si>
  <si>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</si>
  <si>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</si>
  <si>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</si>
  <si>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</si>
  <si>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</si>
  <si>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</si>
  <si>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</si>
  <si>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</si>
  <si>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</si>
  <si>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</si>
  <si>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</si>
  <si>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</si>
  <si>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</si>
  <si>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</si>
  <si>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</si>
  <si>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</si>
  <si>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</si>
  <si>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</si>
  <si>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</si>
  <si>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</si>
  <si>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</si>
  <si>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</si>
  <si>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</si>
  <si>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</si>
  <si>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</si>
  <si>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</si>
  <si>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</si>
  <si>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</si>
  <si>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</si>
  <si>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</si>
  <si>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</si>
  <si>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</si>
  <si>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</si>
  <si>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</si>
  <si>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</si>
  <si>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</si>
  <si>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</si>
  <si>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</si>
  <si>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</si>
  <si>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</si>
  <si>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</si>
  <si>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</si>
  <si>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</si>
  <si>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</si>
  <si>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</si>
  <si>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</si>
  <si>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</si>
  <si>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</si>
  <si>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</si>
  <si>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</si>
  <si>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</si>
  <si>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</si>
  <si>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</si>
  <si>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</si>
  <si>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</si>
  <si>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</si>
  <si>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</si>
  <si>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</si>
  <si>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</si>
  <si>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</si>
  <si>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</si>
  <si>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</si>
  <si>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</si>
  <si>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</si>
  <si>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</si>
  <si>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</si>
  <si>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</si>
  <si>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</si>
  <si>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</si>
  <si>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</si>
  <si>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</si>
  <si>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</si>
  <si>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</si>
  <si>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</si>
  <si>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</si>
  <si>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</si>
  <si>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</si>
  <si>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</si>
  <si>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</si>
  <si>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</si>
  <si>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</si>
  <si>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</si>
  <si>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</si>
  <si>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</si>
  <si>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</si>
  <si>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</si>
  <si>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</si>
  <si>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</si>
  <si>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</si>
  <si>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</si>
  <si>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</si>
  <si>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</si>
  <si>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</si>
  <si>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</si>
  <si>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</si>
  <si>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</si>
  <si>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</si>
  <si>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</si>
  <si>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</si>
  <si>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</si>
  <si>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</si>
  <si>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</si>
  <si>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</si>
  <si>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</si>
  <si>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</si>
  <si>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</si>
  <si>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</si>
  <si>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</si>
  <si>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</si>
  <si>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</si>
  <si>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</si>
  <si>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</si>
  <si>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</si>
  <si>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</si>
  <si>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</si>
  <si>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</si>
  <si>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</si>
  <si>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</si>
  <si>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</si>
  <si>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</si>
  <si>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</si>
  <si>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</si>
  <si>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</si>
  <si>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</si>
  <si>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</si>
  <si>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</si>
  <si>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</si>
  <si>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</si>
  <si>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</si>
  <si>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</si>
  <si>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</si>
  <si>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</si>
  <si>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</si>
  <si>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</si>
  <si>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</si>
  <si>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</si>
  <si>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</si>
  <si>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</si>
  <si>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</si>
  <si>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</si>
  <si>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</si>
  <si>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</si>
  <si>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</si>
  <si>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</si>
  <si>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</si>
  <si>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</si>
  <si>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</si>
  <si>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</si>
  <si>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</si>
  <si>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</si>
  <si>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</si>
  <si>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</si>
  <si>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</si>
  <si>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</si>
  <si>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</si>
  <si>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</si>
  <si>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</si>
  <si>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</si>
  <si>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</si>
  <si>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</si>
  <si>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</si>
  <si>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</si>
  <si>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</si>
  <si>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</si>
  <si>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</si>
  <si>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</si>
  <si>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</si>
  <si>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</si>
  <si>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</si>
  <si>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</si>
  <si>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</si>
  <si>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</si>
  <si>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</si>
  <si>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</si>
  <si>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</si>
  <si>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</si>
  <si>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</si>
  <si>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</si>
  <si>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</si>
  <si>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</si>
  <si>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</si>
  <si>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</si>
  <si>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</si>
  <si>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</si>
  <si>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</si>
  <si>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</si>
  <si>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</si>
  <si>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</si>
  <si>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</si>
  <si>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</si>
  <si>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</si>
  <si>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</si>
  <si>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</si>
  <si>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</si>
  <si>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</si>
  <si>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</si>
  <si>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</si>
  <si>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</si>
  <si>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</si>
  <si>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</si>
  <si>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</si>
  <si>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</si>
  <si>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</si>
  <si>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</si>
  <si>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</si>
  <si>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</si>
  <si>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</si>
  <si>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</si>
  <si>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</si>
  <si>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</si>
  <si>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</si>
  <si>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</si>
  <si>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</si>
  <si>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</si>
  <si>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</si>
  <si>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</si>
  <si>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</si>
  <si>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</si>
  <si>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</si>
  <si>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</si>
  <si>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</si>
  <si>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</si>
  <si>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</si>
  <si>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</si>
  <si>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</si>
  <si>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</si>
  <si>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</si>
  <si>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</si>
  <si>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</si>
  <si>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</si>
  <si>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</si>
  <si>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</si>
  <si>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</si>
  <si>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</si>
  <si>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</si>
  <si>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</si>
  <si>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</si>
  <si>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</si>
  <si>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</si>
  <si>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</si>
  <si>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</si>
  <si>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</si>
  <si>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</si>
  <si>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</si>
  <si>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</si>
  <si>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</si>
  <si>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</si>
  <si>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</si>
  <si>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</si>
  <si>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</si>
  <si>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</si>
  <si>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</si>
  <si>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</si>
  <si>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</si>
  <si>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</si>
  <si>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</si>
  <si>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</si>
  <si>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</si>
  <si>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</si>
  <si>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</si>
  <si>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</si>
  <si>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</si>
  <si>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</si>
  <si>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</si>
  <si>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</si>
  <si>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</si>
  <si>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</si>
  <si>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</si>
  <si>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</si>
  <si>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</si>
  <si>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</si>
  <si>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</si>
  <si>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</si>
  <si>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</si>
  <si>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</si>
  <si>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</si>
  <si>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</si>
  <si>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</si>
  <si>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</si>
  <si>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</si>
  <si>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</si>
  <si>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</si>
  <si>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</si>
  <si>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</si>
  <si>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</si>
  <si>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</si>
  <si>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</si>
  <si>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</si>
  <si>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</si>
  <si>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</si>
  <si>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</si>
  <si>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</si>
  <si>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</si>
  <si>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</si>
  <si>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</si>
  <si>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</si>
  <si>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</si>
  <si>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</si>
  <si>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</si>
  <si>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</si>
  <si>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</si>
  <si>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</si>
  <si>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</si>
  <si>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</si>
  <si>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</si>
  <si>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</si>
  <si>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</si>
  <si>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</si>
  <si>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</si>
  <si>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</si>
  <si>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</si>
  <si>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</si>
  <si>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</si>
  <si>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</si>
  <si>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</si>
  <si>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</si>
  <si>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</si>
  <si>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</si>
  <si>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</si>
  <si>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</si>
  <si>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</si>
  <si>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</si>
  <si>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</si>
  <si>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</si>
  <si>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</si>
  <si>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</si>
  <si>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</si>
  <si>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</si>
  <si>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</si>
  <si>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</si>
  <si>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</si>
  <si>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</si>
  <si>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</si>
  <si>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</si>
  <si>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</si>
  <si>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</si>
  <si>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</si>
  <si>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</si>
  <si>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</si>
  <si>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</si>
  <si>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</si>
  <si>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</si>
  <si>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</si>
  <si>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</si>
  <si>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</si>
  <si>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</si>
  <si>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</si>
  <si>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</si>
  <si>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</si>
  <si>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</si>
  <si>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</si>
  <si>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</si>
  <si>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</si>
  <si>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</si>
  <si>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</si>
  <si>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</si>
  <si>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</si>
  <si>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</si>
  <si>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</si>
  <si>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</si>
  <si>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</si>
  <si>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</si>
  <si>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</si>
  <si>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</si>
  <si>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</si>
  <si>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</si>
  <si>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</si>
  <si>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</si>
  <si>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</si>
  <si>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</si>
  <si>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</si>
  <si>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</si>
  <si>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</si>
  <si>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</si>
  <si>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</si>
  <si>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</si>
  <si>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</si>
  <si>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</si>
  <si>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</si>
  <si>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</si>
  <si>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</si>
  <si>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</si>
  <si>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</si>
  <si>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</si>
  <si>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</si>
  <si>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</si>
  <si>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</si>
  <si>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</si>
  <si>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</si>
  <si>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</si>
  <si>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</si>
  <si>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</si>
  <si>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</si>
  <si>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</si>
  <si>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</si>
  <si>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</si>
  <si>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</si>
  <si>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</si>
  <si>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</si>
  <si>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</si>
  <si>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</si>
  <si>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</si>
  <si>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</si>
  <si>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</si>
  <si>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</si>
  <si>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</si>
  <si>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</si>
  <si>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</si>
  <si>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</si>
  <si>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</si>
  <si>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</si>
  <si>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</si>
  <si>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</si>
  <si>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</si>
  <si>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</si>
  <si>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</si>
  <si>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</si>
  <si>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</si>
  <si>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</si>
  <si>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</si>
  <si>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</si>
  <si>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</si>
  <si>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</si>
  <si>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</si>
  <si>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</si>
  <si>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</si>
  <si>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</si>
  <si>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</si>
  <si>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</si>
  <si>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</si>
  <si>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</si>
  <si>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</si>
  <si>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</si>
  <si>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</si>
  <si>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</si>
  <si>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</si>
  <si>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</si>
  <si>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</si>
  <si>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</si>
  <si>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</si>
  <si>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</si>
  <si>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</si>
  <si>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</si>
  <si>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</si>
  <si>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</si>
  <si>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</si>
  <si>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</si>
  <si>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</si>
  <si>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</si>
  <si>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</si>
  <si>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</si>
  <si>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</si>
  <si>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</si>
  <si>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</si>
  <si>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</si>
  <si>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</si>
  <si>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</si>
  <si>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</si>
  <si>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</si>
  <si>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</si>
  <si>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</si>
  <si>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</si>
  <si>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</si>
  <si>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</si>
  <si>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</si>
  <si>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</si>
  <si>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</si>
  <si>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</si>
  <si>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</si>
  <si>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</si>
  <si>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</si>
  <si>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</si>
  <si>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</si>
  <si>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</si>
  <si>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</si>
  <si>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</si>
  <si>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</si>
  <si>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</si>
  <si>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</si>
  <si>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</si>
  <si>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</si>
  <si>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</si>
  <si>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</si>
  <si>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</si>
  <si>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</si>
  <si>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</si>
  <si>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</si>
  <si>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</si>
  <si>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</si>
  <si>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</si>
  <si>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</si>
  <si>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</si>
  <si>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</si>
  <si>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</si>
  <si>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</si>
  <si>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</si>
  <si>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</si>
  <si>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</si>
  <si>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</si>
  <si>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</si>
  <si>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</si>
  <si>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</si>
  <si>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</si>
  <si>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</si>
  <si>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</si>
  <si>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</si>
  <si>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</si>
  <si>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</si>
  <si>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</si>
  <si>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</si>
  <si>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</si>
  <si>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</si>
  <si>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</si>
  <si>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</si>
  <si>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</si>
  <si>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</si>
  <si>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</si>
  <si>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</si>
  <si>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</si>
  <si>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</si>
  <si>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</si>
  <si>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</si>
  <si>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</si>
  <si>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</si>
  <si>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</si>
  <si>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</si>
  <si>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</si>
  <si>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</si>
  <si>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</si>
  <si>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</si>
  <si>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</si>
  <si>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</si>
  <si>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</si>
  <si>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</si>
  <si>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</si>
  <si>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</si>
  <si>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</si>
  <si>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</si>
  <si>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</si>
  <si>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</si>
  <si>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</si>
  <si>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</si>
  <si>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</si>
  <si>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</si>
  <si>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</si>
  <si>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</si>
  <si>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</si>
  <si>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</si>
  <si>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</si>
  <si>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</si>
  <si>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</si>
  <si>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</si>
  <si>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</si>
  <si>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</si>
  <si>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</si>
  <si>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</si>
  <si>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</si>
  <si>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</si>
  <si>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</si>
  <si>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</si>
  <si>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</si>
  <si>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</si>
  <si>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</si>
  <si>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</si>
  <si>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</si>
  <si>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</si>
  <si>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</si>
  <si>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</si>
  <si>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</si>
  <si>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</si>
  <si>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</si>
  <si>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</si>
  <si>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</si>
  <si>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</si>
  <si>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</si>
  <si>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</si>
  <si>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</si>
  <si>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</si>
  <si>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</si>
  <si>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</si>
  <si>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</si>
  <si>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</si>
  <si>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</si>
  <si>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</si>
  <si>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</si>
  <si>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</si>
  <si>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</si>
  <si>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</si>
  <si>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</si>
  <si>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</si>
  <si>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</si>
  <si>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</si>
  <si>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</si>
  <si>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</si>
  <si>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</si>
  <si>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</si>
  <si>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</si>
  <si>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</si>
  <si>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</si>
  <si>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</si>
  <si>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</si>
  <si>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</si>
  <si>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</si>
  <si>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</si>
  <si>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</si>
  <si>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</si>
  <si>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</si>
  <si>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</si>
  <si>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</si>
  <si>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</si>
  <si>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</si>
  <si>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</si>
  <si>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</si>
  <si>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</si>
  <si>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</si>
  <si>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</si>
  <si>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</si>
  <si>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</si>
  <si>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</si>
  <si>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</si>
  <si>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</si>
  <si>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</si>
  <si>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</si>
  <si>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</si>
  <si>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</si>
  <si>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</si>
  <si>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</si>
  <si>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</si>
  <si>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</si>
  <si>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</si>
  <si>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</si>
  <si>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</si>
  <si>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</si>
  <si>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</si>
  <si>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</si>
  <si>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</si>
  <si>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</si>
  <si>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</si>
  <si>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</si>
  <si>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</si>
  <si>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</si>
  <si>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</si>
  <si>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</si>
  <si>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</si>
  <si>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</si>
  <si>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</si>
  <si>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</si>
  <si>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</si>
  <si>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</si>
  <si>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</si>
  <si>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</si>
  <si>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</si>
  <si>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</si>
  <si>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</si>
  <si>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</si>
  <si>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</si>
  <si>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</si>
  <si>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</si>
  <si>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</si>
  <si>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</si>
  <si>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</si>
  <si>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</si>
  <si>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</si>
  <si>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</si>
  <si>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</si>
  <si>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</si>
  <si>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</si>
  <si>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</si>
  <si>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</si>
  <si>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</si>
  <si>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</si>
  <si>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</si>
  <si>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</si>
  <si>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</si>
  <si>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</si>
  <si>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</si>
  <si>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</si>
  <si>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</si>
  <si>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</si>
  <si>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</si>
  <si>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</si>
  <si>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</si>
  <si>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</si>
  <si>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</si>
  <si>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</si>
  <si>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</si>
  <si>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</si>
  <si>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</si>
  <si>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</si>
  <si>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</si>
  <si>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</si>
  <si>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</si>
  <si>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</si>
  <si>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</si>
  <si>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</si>
  <si>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</si>
  <si>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</si>
  <si>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</si>
  <si>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</si>
  <si>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</si>
  <si>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</si>
  <si>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</si>
  <si>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</si>
  <si>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</si>
  <si>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</si>
  <si>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</si>
  <si>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</si>
  <si>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</si>
  <si>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</si>
  <si>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</si>
  <si>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</si>
  <si>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</si>
  <si>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</si>
  <si>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</si>
  <si>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</si>
  <si>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</si>
  <si>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</si>
  <si>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</si>
  <si>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</si>
  <si>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</si>
  <si>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</si>
  <si>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</si>
  <si>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</si>
  <si>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</si>
  <si>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</si>
  <si>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</si>
  <si>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</si>
  <si>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</si>
  <si>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</si>
  <si>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</si>
  <si>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</si>
  <si>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</si>
  <si>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</si>
  <si>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</si>
  <si>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</si>
  <si>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</si>
  <si>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</si>
  <si>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</si>
  <si>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</si>
  <si>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</si>
  <si>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</si>
  <si>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</si>
  <si>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</si>
  <si>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</si>
  <si>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</si>
  <si>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</si>
  <si>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</si>
  <si>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</si>
  <si>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</si>
  <si>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</si>
  <si>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</si>
  <si>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</si>
  <si>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</si>
  <si>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</si>
  <si>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</si>
  <si>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</si>
  <si>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</si>
  <si>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</si>
  <si>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</si>
  <si>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</si>
  <si>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</si>
  <si>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</si>
  <si>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</si>
  <si>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</si>
  <si>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</si>
  <si>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</si>
  <si>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</si>
  <si>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</si>
  <si>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</si>
  <si>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</si>
  <si>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</si>
  <si>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</si>
  <si>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</si>
  <si>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</si>
  <si>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</si>
  <si>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</si>
  <si>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</si>
  <si>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</si>
  <si>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</si>
  <si>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</si>
  <si>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</si>
  <si>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</si>
  <si>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</si>
  <si>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</si>
  <si>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</si>
  <si>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</si>
  <si>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</si>
  <si>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</si>
  <si>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</si>
  <si>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</si>
  <si>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</si>
  <si>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</si>
  <si>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</si>
  <si>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</si>
  <si>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</si>
  <si>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</si>
  <si>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</si>
  <si>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</si>
  <si>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</si>
  <si>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</si>
  <si>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</si>
  <si>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</si>
  <si>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</si>
  <si>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</si>
  <si>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</si>
  <si>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</si>
  <si>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</si>
  <si>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</si>
  <si>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</si>
  <si>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</si>
  <si>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</si>
  <si>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</si>
  <si>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</si>
  <si>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</si>
  <si>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</si>
  <si>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</si>
  <si>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</si>
  <si>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</si>
  <si>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</si>
  <si>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</si>
  <si>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</si>
  <si>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</si>
  <si>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</si>
  <si>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</si>
  <si>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</si>
  <si>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</si>
  <si>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</si>
  <si>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</si>
  <si>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</si>
  <si>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</si>
  <si>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</si>
  <si>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</si>
  <si>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</si>
  <si>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</si>
  <si>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</si>
  <si>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</si>
  <si>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</si>
  <si>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</si>
  <si>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</si>
  <si>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</si>
  <si>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</si>
  <si>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</si>
  <si>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</si>
  <si>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</si>
  <si>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</si>
  <si>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</si>
  <si>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</si>
  <si>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</si>
  <si>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</si>
  <si>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</si>
  <si>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</si>
  <si>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</si>
  <si>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</si>
  <si>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</si>
  <si>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</si>
  <si>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</si>
  <si>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</si>
  <si>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</si>
  <si>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</si>
  <si>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</si>
  <si>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</si>
  <si>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</si>
  <si>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</si>
  <si>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</si>
  <si>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</si>
  <si>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</si>
  <si>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</si>
  <si>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</si>
  <si>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</si>
  <si>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</si>
  <si>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</si>
  <si>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</si>
  <si>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</si>
  <si>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</si>
  <si>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</si>
  <si>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</si>
  <si>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</si>
  <si>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</si>
  <si>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</si>
  <si>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</si>
  <si>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</si>
  <si>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</si>
  <si>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</si>
  <si>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</si>
  <si>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</si>
  <si>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</si>
  <si>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</si>
  <si>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</si>
  <si>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</si>
  <si>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</si>
  <si>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</si>
  <si>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</si>
  <si>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</si>
  <si>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</si>
  <si>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</si>
  <si>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</si>
  <si>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</si>
  <si>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</si>
  <si>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</si>
  <si>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</si>
  <si>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</si>
  <si>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</si>
  <si>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</si>
  <si>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</si>
  <si>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</si>
  <si>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</si>
  <si>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</si>
  <si>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</si>
  <si>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</si>
  <si>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</si>
  <si>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</si>
  <si>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</si>
  <si>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</si>
  <si>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</si>
  <si>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</si>
  <si>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</si>
  <si>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</si>
  <si>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</si>
  <si>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</si>
  <si>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</si>
  <si>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</si>
  <si>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</si>
  <si>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</si>
  <si>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</si>
  <si>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</si>
  <si>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</si>
  <si>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</si>
  <si>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</si>
  <si>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</si>
  <si>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</si>
  <si>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</si>
  <si>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</si>
  <si>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</si>
  <si>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</si>
  <si>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</si>
  <si>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</si>
  <si>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</si>
  <si>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</si>
  <si>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</si>
  <si>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</si>
  <si>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</si>
  <si>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</si>
  <si>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</si>
  <si>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</si>
  <si>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</si>
  <si>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</si>
  <si>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</si>
  <si>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</si>
  <si>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</si>
  <si>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</si>
  <si>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</si>
  <si>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</si>
  <si>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</si>
  <si>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</si>
  <si>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</si>
  <si>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</si>
  <si>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</si>
  <si>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</si>
  <si>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</si>
  <si>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</si>
  <si>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</si>
  <si>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</si>
  <si>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</si>
  <si>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</si>
  <si>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</si>
  <si>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</si>
  <si>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</si>
  <si>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</si>
  <si>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</si>
  <si>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</si>
  <si>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</si>
  <si>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</si>
  <si>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</si>
  <si>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</si>
  <si>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</si>
  <si>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</si>
  <si>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</si>
  <si>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</si>
  <si>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</si>
  <si>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</si>
  <si>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</si>
  <si>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</si>
  <si>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</si>
  <si>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</si>
  <si>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</si>
  <si>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</si>
  <si>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</si>
  <si>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</si>
  <si>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</si>
  <si>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</si>
  <si>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</si>
  <si>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</si>
  <si>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</si>
  <si>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</si>
  <si>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</si>
  <si>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</si>
  <si>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</si>
  <si>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</si>
  <si>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</si>
  <si>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</si>
  <si>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</si>
  <si>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</si>
  <si>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</si>
  <si>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</si>
  <si>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</si>
  <si>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</si>
  <si>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</si>
  <si>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</si>
  <si>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</si>
  <si>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</si>
  <si>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</si>
  <si>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</si>
  <si>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</si>
  <si>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</si>
  <si>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</si>
  <si>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</si>
  <si>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</si>
  <si>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</si>
  <si>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</si>
  <si>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</si>
  <si>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</si>
  <si>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</si>
  <si>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</si>
  <si>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</si>
  <si>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</si>
  <si>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</si>
  <si>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</si>
  <si>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</si>
  <si>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</si>
  <si>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</si>
  <si>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</si>
  <si>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</si>
  <si>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</si>
  <si>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</si>
  <si>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</si>
  <si>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</si>
  <si>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</si>
  <si>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</si>
  <si>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</si>
  <si>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</si>
  <si>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</si>
  <si>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</si>
  <si>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</si>
  <si>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</si>
  <si>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</si>
  <si>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</si>
  <si>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</si>
  <si>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</si>
  <si>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</si>
  <si>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</si>
  <si>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</si>
  <si>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</si>
  <si>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</si>
  <si>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</si>
  <si>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</si>
  <si>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</si>
  <si>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</si>
  <si>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</si>
  <si>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</si>
  <si>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</si>
  <si>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</si>
  <si>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</si>
  <si>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</si>
  <si>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</si>
  <si>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</si>
  <si>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</si>
  <si>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</si>
  <si>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</si>
  <si>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</si>
  <si>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</si>
  <si>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</si>
  <si>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</si>
  <si>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</si>
  <si>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</si>
  <si>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</si>
  <si>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</si>
  <si>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</si>
  <si>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</si>
  <si>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</si>
  <si>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</si>
  <si>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</si>
  <si>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</si>
  <si>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</si>
  <si>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</si>
  <si>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</si>
  <si>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</si>
  <si>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</si>
  <si>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</si>
  <si>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</si>
  <si>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</si>
  <si>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</si>
  <si>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</si>
  <si>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</si>
  <si>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</si>
  <si>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</si>
  <si>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</si>
  <si>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</si>
  <si>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</si>
  <si>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</si>
  <si>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</si>
  <si>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</si>
  <si>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</si>
  <si>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</si>
  <si>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</si>
  <si>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</si>
  <si>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</si>
  <si>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</si>
  <si>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</si>
  <si>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</si>
  <si>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</si>
  <si>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</si>
  <si>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</si>
  <si>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</si>
  <si>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</si>
  <si>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</si>
  <si>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</si>
  <si>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</si>
  <si>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</si>
  <si>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</si>
  <si>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</si>
  <si>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</si>
  <si>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</si>
  <si>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</si>
  <si>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</si>
  <si>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</si>
  <si>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</si>
  <si>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</si>
  <si>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</si>
  <si>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</si>
  <si>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</si>
  <si>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</si>
  <si>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</si>
  <si>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</si>
  <si>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</si>
  <si>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</si>
  <si>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</si>
  <si>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</si>
  <si>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</si>
  <si>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</si>
  <si>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</si>
  <si>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</si>
  <si>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</si>
  <si>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</si>
  <si>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</si>
  <si>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</si>
  <si>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</si>
  <si>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</si>
  <si>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</si>
  <si>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</si>
  <si>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</si>
  <si>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</si>
  <si>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</si>
  <si>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</si>
  <si>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</si>
  <si>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</si>
  <si>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</si>
  <si>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</si>
  <si>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</si>
  <si>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</si>
  <si>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</si>
  <si>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</si>
  <si>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</si>
  <si>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</si>
  <si>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</si>
  <si>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</si>
  <si>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</si>
  <si>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</si>
  <si>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</si>
  <si>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</si>
  <si>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</si>
  <si>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</si>
  <si>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</si>
  <si>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</si>
  <si>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</si>
  <si>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</si>
  <si>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</si>
  <si>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</si>
  <si>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</si>
  <si>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</si>
  <si>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</si>
  <si>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</si>
  <si>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</si>
  <si>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</si>
  <si>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</si>
  <si>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</si>
  <si>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</si>
  <si>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</si>
  <si>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</si>
  <si>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</si>
  <si>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</si>
  <si>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</si>
  <si>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</si>
  <si>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</si>
  <si>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</si>
  <si>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</si>
  <si>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</si>
  <si>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</si>
  <si>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</si>
  <si>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</si>
  <si>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</si>
  <si>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</si>
  <si>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</si>
  <si>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</si>
  <si>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</si>
  <si>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</si>
  <si>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</si>
  <si>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</si>
  <si>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</si>
  <si>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</si>
  <si>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</si>
  <si>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</si>
  <si>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</si>
  <si>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</si>
  <si>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</si>
  <si>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</si>
  <si>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</si>
  <si>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</si>
  <si>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</si>
  <si>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</si>
  <si>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</si>
  <si>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</si>
  <si>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</si>
  <si>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</si>
  <si>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</si>
  <si>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</si>
  <si>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</si>
  <si>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</si>
  <si>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</si>
  <si>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</si>
  <si>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</si>
  <si>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</si>
  <si>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</si>
  <si>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</si>
  <si>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</si>
  <si>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</si>
  <si>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</si>
  <si>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</si>
  <si>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</si>
  <si>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</si>
  <si>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</si>
  <si>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</si>
  <si>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</si>
  <si>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</si>
  <si>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</si>
  <si>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</si>
  <si>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</si>
  <si>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</si>
  <si>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</si>
  <si>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</si>
  <si>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</si>
  <si>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</si>
  <si>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</si>
  <si>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</si>
  <si>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</si>
  <si>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</si>
  <si>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</si>
  <si>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</si>
  <si>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</si>
  <si>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</si>
  <si>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</si>
  <si>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</si>
  <si>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</si>
  <si>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</si>
  <si>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</si>
  <si>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</si>
  <si>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</si>
  <si>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</si>
  <si>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</si>
  <si>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</si>
  <si>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</si>
  <si>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</si>
  <si>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</si>
  <si>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</si>
  <si>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</si>
  <si>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</si>
  <si>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</si>
  <si>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</si>
  <si>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</si>
  <si>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</si>
  <si>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</si>
  <si>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</si>
  <si>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</si>
  <si>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</si>
  <si>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</si>
  <si>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</si>
  <si>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</si>
  <si>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</si>
  <si>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</si>
  <si>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</si>
  <si>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</si>
  <si>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</si>
  <si>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</si>
  <si>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</si>
  <si>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</si>
  <si>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</si>
  <si>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</si>
  <si>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</si>
  <si>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</si>
  <si>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</si>
  <si>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</si>
  <si>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</si>
  <si>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</si>
  <si>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</si>
  <si>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</si>
  <si>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</si>
  <si>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</si>
  <si>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</si>
  <si>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</si>
  <si>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</si>
  <si>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</si>
  <si>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</si>
  <si>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</si>
  <si>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</si>
  <si>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</si>
  <si>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</si>
  <si>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</si>
  <si>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</si>
  <si>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</si>
  <si>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</si>
  <si>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</si>
  <si>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</si>
  <si>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</si>
  <si>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</si>
  <si>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</si>
  <si>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</si>
  <si>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</si>
  <si>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</si>
  <si>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</si>
  <si>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</si>
  <si>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</si>
  <si>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</si>
  <si>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</si>
  <si>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</si>
  <si>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</si>
  <si>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</si>
  <si>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</si>
  <si>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</si>
  <si>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</si>
  <si>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</si>
  <si>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</si>
  <si>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</si>
  <si>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</si>
  <si>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</si>
  <si>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</si>
  <si>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</si>
  <si>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</si>
  <si>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</si>
  <si>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</si>
  <si>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</si>
  <si>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</si>
  <si>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</si>
  <si>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</si>
  <si>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</si>
  <si>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</si>
  <si>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</si>
  <si>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</si>
  <si>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</si>
  <si>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</si>
  <si>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</si>
  <si>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</si>
  <si>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</si>
  <si>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</si>
  <si>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</si>
  <si>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</si>
  <si>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</si>
  <si>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</si>
  <si>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</si>
  <si>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</si>
  <si>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</si>
  <si>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</si>
  <si>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</si>
  <si>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</si>
  <si>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</si>
  <si>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</si>
  <si>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</si>
  <si>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</si>
  <si>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</si>
  <si>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</si>
  <si>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</si>
  <si>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</si>
  <si>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</si>
  <si>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</si>
  <si>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</si>
  <si>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</si>
  <si>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</si>
  <si>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</si>
  <si>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</si>
  <si>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</si>
  <si>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</si>
  <si>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</si>
  <si>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</si>
  <si>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</si>
  <si>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</si>
  <si>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</si>
  <si>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</si>
  <si>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</si>
  <si>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</si>
  <si>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</si>
  <si>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</si>
  <si>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</si>
  <si>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</si>
  <si>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</si>
  <si>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</si>
  <si>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</si>
  <si>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</si>
  <si>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</si>
  <si>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</si>
  <si>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</si>
  <si>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</si>
  <si>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</si>
  <si>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</si>
  <si>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</si>
  <si>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</si>
  <si>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</si>
  <si>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</si>
  <si>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</si>
  <si>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</si>
  <si>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</si>
  <si>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</si>
  <si>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</si>
  <si>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</si>
  <si>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</si>
  <si>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</si>
  <si>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</si>
  <si>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</si>
  <si>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</si>
  <si>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</si>
  <si>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</si>
  <si>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</si>
  <si>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</si>
  <si>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</si>
  <si>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</si>
  <si>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</si>
  <si>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</si>
  <si>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</si>
  <si>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</si>
  <si>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</si>
  <si>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</si>
  <si>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</si>
  <si>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</si>
  <si>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</si>
  <si>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</si>
  <si>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</si>
  <si>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</si>
  <si>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</si>
  <si>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</si>
  <si>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</si>
  <si>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</si>
  <si>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</si>
  <si>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</si>
  <si>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</si>
  <si>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</si>
  <si>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</si>
  <si>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</si>
  <si>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</si>
  <si>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</si>
  <si>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</si>
  <si>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</si>
  <si>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</si>
  <si>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</si>
  <si>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</si>
  <si>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</si>
  <si>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</si>
  <si>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</si>
  <si>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</si>
  <si>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</si>
  <si>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</si>
  <si>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</si>
  <si>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</si>
  <si>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</si>
  <si>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</si>
  <si>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</si>
  <si>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</si>
  <si>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</si>
  <si>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</si>
  <si>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</si>
  <si>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</si>
  <si>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</si>
  <si>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</si>
  <si>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</si>
  <si>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</si>
  <si>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</si>
  <si>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</si>
  <si>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</si>
  <si>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</si>
  <si>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</si>
  <si>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</si>
  <si>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</si>
  <si>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</si>
  <si>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</si>
  <si>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</si>
  <si>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</si>
  <si>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</si>
  <si>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</si>
  <si>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</si>
  <si>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</si>
  <si>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</si>
  <si>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</si>
  <si>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</si>
  <si>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</si>
  <si>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</si>
  <si>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</si>
  <si>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</si>
  <si>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</si>
  <si>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</si>
  <si>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</si>
  <si>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</si>
  <si>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</si>
  <si>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</si>
  <si>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</si>
  <si>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</si>
  <si>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</si>
  <si>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</si>
  <si>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</si>
  <si>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</si>
  <si>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</si>
  <si>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</si>
  <si>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</si>
  <si>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</si>
  <si>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</si>
  <si>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</si>
  <si>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</si>
  <si>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</si>
  <si>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</si>
  <si>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</si>
  <si>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</si>
  <si>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</si>
  <si>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</si>
  <si>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</si>
  <si>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</si>
  <si>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</si>
  <si>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</si>
  <si>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</si>
  <si>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</si>
  <si>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</si>
  <si>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</si>
  <si>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</si>
  <si>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</si>
  <si>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</si>
  <si>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</si>
  <si>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</si>
  <si>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</si>
  <si>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</si>
  <si>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</si>
  <si>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</si>
  <si>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</si>
  <si>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</si>
  <si>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</si>
  <si>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</si>
  <si>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</si>
  <si>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</si>
  <si>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</si>
  <si>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</si>
  <si>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</si>
  <si>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</si>
  <si>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</si>
  <si>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</si>
  <si>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</si>
  <si>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</si>
  <si>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</si>
  <si>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</si>
  <si>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</si>
  <si>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</si>
  <si>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</si>
  <si>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</si>
  <si>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</si>
  <si>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</si>
  <si>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</si>
  <si>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</si>
  <si>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</si>
  <si>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</si>
  <si>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</si>
  <si>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</si>
  <si>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</si>
  <si>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</si>
  <si>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</si>
  <si>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</si>
  <si>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</si>
  <si>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</si>
  <si>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</si>
  <si>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</si>
  <si>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</si>
  <si>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</si>
  <si>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</si>
  <si>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</si>
  <si>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</si>
  <si>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</si>
  <si>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</si>
  <si>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</si>
  <si>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</si>
  <si>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</si>
  <si>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</si>
  <si>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</si>
  <si>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</si>
  <si>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</si>
  <si>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</si>
  <si>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</si>
  <si>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</si>
  <si>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</si>
  <si>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</si>
  <si>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</si>
  <si>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</si>
  <si>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</si>
  <si>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</si>
  <si>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</si>
  <si>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</si>
  <si>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</si>
  <si>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</si>
  <si>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</si>
  <si>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</si>
  <si>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</si>
  <si>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</si>
  <si>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</si>
  <si>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</si>
  <si>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</si>
  <si>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</si>
  <si>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</si>
  <si>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</si>
  <si>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</si>
  <si>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</si>
  <si>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</si>
  <si>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</si>
  <si>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</si>
  <si>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</si>
  <si>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</si>
  <si>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</si>
  <si>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</si>
  <si>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</si>
  <si>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</si>
  <si>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</si>
  <si>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</si>
  <si>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</si>
  <si>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</si>
  <si>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</si>
  <si>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</si>
  <si>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</si>
  <si>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</si>
  <si>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</si>
  <si>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</si>
  <si>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</si>
  <si>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</si>
  <si>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</si>
  <si>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</si>
  <si>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</si>
  <si>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</si>
  <si>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</si>
  <si>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</si>
  <si>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</si>
  <si>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</si>
  <si>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</si>
  <si>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</si>
  <si>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</si>
  <si>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</si>
  <si>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</si>
  <si>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</si>
  <si>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</si>
  <si>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</si>
  <si>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</si>
  <si>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</si>
  <si>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</si>
  <si>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</si>
  <si>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</si>
  <si>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</si>
  <si>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</si>
  <si>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</si>
  <si>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</si>
  <si>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</si>
  <si>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</si>
  <si>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</si>
  <si>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</si>
  <si>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</si>
  <si>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</si>
  <si>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</si>
  <si>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</si>
  <si>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</si>
  <si>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</si>
  <si>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</si>
  <si>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</si>
  <si>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</si>
  <si>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</si>
  <si>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</si>
  <si>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</si>
  <si>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</si>
  <si>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</si>
  <si>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</si>
  <si>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</si>
  <si>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</si>
  <si>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</si>
  <si>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</si>
  <si>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</si>
  <si>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</si>
  <si>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</si>
  <si>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</si>
  <si>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</si>
  <si>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</si>
  <si>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</si>
  <si>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</si>
  <si>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</si>
  <si>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</si>
  <si>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</si>
  <si>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</si>
  <si>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</si>
  <si>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</si>
  <si>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</si>
  <si>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</si>
  <si>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</si>
  <si>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</si>
  <si>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</si>
  <si>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</si>
  <si>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</si>
  <si>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</si>
  <si>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</si>
  <si>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</si>
  <si>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</si>
  <si>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</si>
  <si>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</si>
  <si>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</si>
  <si>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</si>
  <si>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</si>
  <si>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</si>
  <si>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</si>
  <si>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</si>
  <si>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</si>
  <si>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</si>
  <si>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</si>
  <si>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</si>
  <si>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</si>
  <si>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</si>
  <si>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</si>
  <si>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</si>
  <si>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</si>
  <si>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</si>
  <si>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</si>
  <si>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</si>
  <si>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</si>
  <si>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</si>
  <si>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</si>
  <si>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</si>
  <si>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</si>
  <si>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</si>
  <si>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</si>
  <si>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</si>
  <si>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</si>
  <si>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</si>
  <si>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</si>
  <si>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</si>
  <si>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</si>
  <si>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</si>
  <si>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</si>
  <si>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</si>
  <si>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</si>
  <si>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</si>
  <si>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</si>
  <si>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</si>
  <si>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</si>
  <si>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</si>
  <si>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</si>
  <si>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</si>
  <si>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</si>
  <si>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</si>
  <si>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</si>
  <si>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</si>
  <si>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</si>
  <si>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</si>
  <si>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</si>
  <si>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</si>
  <si>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</si>
  <si>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</si>
  <si>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</si>
  <si>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</si>
  <si>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</si>
  <si>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</si>
  <si>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</si>
  <si>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</si>
  <si>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</si>
  <si>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</si>
  <si>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</si>
  <si>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</si>
  <si>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</si>
  <si>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</si>
  <si>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</si>
  <si>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</si>
  <si>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</si>
  <si>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</si>
  <si>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</si>
  <si>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</si>
  <si>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</si>
  <si>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</si>
  <si>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</si>
  <si>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</si>
  <si>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</si>
  <si>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</si>
  <si>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</si>
  <si>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</si>
  <si>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</si>
  <si>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</si>
  <si>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</si>
  <si>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</si>
  <si>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</si>
  <si>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</si>
  <si>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</si>
  <si>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</si>
  <si>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</si>
  <si>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</si>
  <si>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</si>
  <si>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</si>
  <si>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</si>
  <si>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</si>
  <si>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</si>
  <si>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</si>
  <si>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</si>
  <si>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</si>
  <si>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</si>
  <si>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</si>
  <si>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</si>
  <si>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</si>
  <si>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</si>
  <si>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</si>
  <si>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</si>
  <si>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</si>
  <si>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</si>
  <si>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</si>
  <si>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</si>
  <si>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</si>
  <si>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</si>
  <si>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</si>
  <si>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</si>
  <si>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</si>
  <si>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</si>
  <si>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</si>
  <si>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</si>
  <si>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</si>
  <si>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</si>
  <si>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</si>
  <si>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</si>
  <si>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</si>
  <si>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</si>
  <si>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</si>
  <si>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</si>
  <si>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</si>
  <si>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</si>
  <si>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</si>
  <si>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</si>
  <si>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</si>
  <si>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</si>
  <si>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</si>
  <si>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</si>
  <si>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</si>
  <si>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</si>
  <si>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</si>
  <si>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</si>
  <si>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</si>
  <si>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</si>
  <si>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</si>
  <si>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</si>
  <si>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</si>
  <si>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</si>
  <si>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</si>
  <si>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</si>
  <si>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</si>
  <si>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</si>
  <si>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</si>
  <si>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</si>
  <si>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</si>
  <si>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</si>
  <si>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</si>
  <si>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</si>
  <si>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</si>
  <si>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</si>
  <si>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</si>
  <si>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</si>
  <si>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</si>
  <si>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</si>
  <si>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</si>
  <si>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</si>
  <si>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</si>
  <si>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</si>
  <si>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</si>
  <si>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</si>
  <si>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</si>
  <si>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</si>
  <si>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</si>
  <si>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</si>
  <si>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</si>
  <si>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</si>
  <si>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</si>
  <si>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</si>
  <si>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</si>
  <si>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</si>
  <si>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</si>
  <si>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</si>
  <si>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</si>
  <si>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</si>
  <si>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</si>
  <si>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</si>
  <si>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</si>
  <si>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</si>
  <si>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</si>
  <si>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</si>
  <si>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</si>
  <si>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</si>
  <si>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</si>
  <si>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</si>
  <si>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</si>
  <si>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</si>
  <si>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</si>
  <si>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</si>
  <si>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</si>
  <si>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</si>
  <si>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</si>
  <si>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</si>
  <si>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</si>
  <si>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</si>
  <si>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</si>
  <si>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</si>
  <si>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</si>
  <si>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</si>
  <si>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</si>
  <si>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</si>
  <si>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</si>
  <si>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</si>
  <si>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</si>
  <si>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</si>
  <si>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</si>
  <si>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</si>
  <si>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</si>
  <si>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</si>
  <si>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</si>
  <si>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</si>
  <si>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</si>
  <si>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</si>
  <si>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</si>
  <si>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</si>
  <si>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</si>
  <si>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</si>
  <si>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</si>
  <si>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</si>
  <si>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</si>
  <si>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</si>
  <si>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</si>
  <si>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</si>
  <si>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</si>
  <si>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</si>
  <si>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</si>
  <si>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</si>
  <si>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</si>
  <si>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</si>
  <si>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</si>
  <si>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</si>
  <si>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</si>
  <si>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</si>
  <si>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</si>
  <si>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</si>
  <si>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</si>
  <si>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</si>
  <si>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</si>
  <si>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</si>
  <si>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</si>
  <si>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</si>
  <si>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</si>
  <si>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</si>
  <si>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</si>
  <si>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</si>
  <si>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</si>
  <si>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</si>
  <si>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</si>
  <si>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</si>
  <si>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</si>
  <si>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</si>
  <si>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</si>
  <si>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</si>
  <si>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</si>
  <si>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</si>
  <si>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</si>
  <si>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</si>
  <si>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</si>
  <si>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</si>
  <si>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</si>
  <si>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</si>
  <si>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</si>
  <si>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</si>
  <si>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</si>
  <si>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</si>
  <si>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</si>
  <si>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</si>
  <si>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</si>
  <si>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</si>
  <si>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</si>
  <si>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</si>
  <si>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</si>
  <si>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</si>
  <si>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</si>
  <si>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</si>
  <si>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</si>
  <si>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</si>
  <si>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</si>
  <si>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</si>
  <si>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</si>
  <si>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</si>
  <si>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</si>
  <si>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</si>
  <si>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</si>
  <si>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</si>
  <si>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</si>
  <si>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</si>
  <si>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</si>
  <si>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</si>
  <si>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</si>
  <si>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</si>
  <si>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</si>
  <si>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</si>
  <si>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</si>
  <si>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</si>
  <si>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</si>
  <si>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</si>
  <si>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</si>
  <si>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</si>
  <si>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</si>
  <si>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</si>
  <si>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</si>
  <si>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</si>
  <si>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</si>
  <si>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</si>
  <si>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</si>
  <si>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</si>
  <si>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</si>
  <si>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</si>
  <si>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</si>
  <si>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</si>
  <si>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</si>
  <si>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</si>
  <si>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</si>
  <si>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</si>
  <si>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</si>
  <si>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</si>
  <si>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</si>
  <si>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</si>
  <si>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</si>
  <si>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</si>
  <si>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</si>
  <si>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</si>
  <si>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</si>
  <si>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</si>
  <si>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</si>
  <si>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</si>
  <si>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</si>
  <si>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</si>
  <si>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</si>
  <si>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</si>
  <si>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</si>
  <si>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</si>
  <si>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</si>
  <si>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</si>
  <si>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</si>
  <si>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</si>
  <si>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</si>
  <si>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</si>
  <si>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</si>
  <si>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</si>
  <si>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</si>
  <si>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</si>
  <si>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</si>
  <si>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</si>
  <si>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</si>
  <si>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</si>
  <si>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</si>
  <si>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</si>
  <si>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</si>
  <si>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</si>
  <si>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</si>
  <si>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</si>
  <si>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</si>
  <si>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</si>
  <si>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</si>
  <si>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</si>
  <si>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</si>
  <si>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</si>
  <si>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</si>
  <si>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</si>
  <si>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</si>
  <si>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</si>
  <si>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</si>
  <si>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</si>
  <si>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</si>
  <si>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</si>
  <si>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</si>
  <si>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</si>
  <si>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</si>
  <si>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</si>
  <si>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</si>
  <si>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</si>
  <si>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</si>
  <si>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</si>
  <si>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</si>
  <si>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</si>
  <si>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</si>
  <si>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</si>
  <si>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</si>
  <si>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</si>
  <si>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</si>
  <si>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</si>
  <si>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</si>
  <si>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</si>
  <si>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</si>
  <si>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</si>
  <si>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</si>
  <si>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</si>
  <si>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</si>
  <si>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</si>
  <si>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</si>
  <si>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</si>
  <si>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</si>
  <si>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</si>
  <si>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</si>
  <si>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</si>
  <si>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</si>
  <si>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</si>
  <si>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</si>
  <si>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</si>
  <si>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</si>
  <si>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</si>
  <si>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</si>
  <si>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</si>
  <si>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</si>
  <si>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</si>
  <si>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</si>
  <si>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</si>
  <si>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</si>
  <si>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</si>
  <si>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</si>
  <si>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</si>
  <si>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</si>
  <si>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</si>
  <si>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</si>
  <si>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</si>
  <si>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</si>
  <si>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</si>
  <si>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</si>
  <si>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</si>
  <si>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</si>
  <si>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</si>
  <si>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</si>
  <si>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</si>
  <si>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</si>
  <si>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</si>
  <si>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</si>
  <si>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</si>
  <si>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</si>
  <si>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</si>
  <si>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</si>
  <si>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</si>
  <si>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</si>
  <si>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</si>
  <si>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</si>
  <si>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</si>
  <si>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</si>
  <si>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</si>
  <si>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</si>
  <si>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</si>
  <si>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</si>
  <si>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</si>
  <si>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</si>
  <si>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</si>
  <si>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</si>
  <si>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</si>
  <si>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</si>
  <si>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</si>
  <si>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</si>
  <si>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</si>
  <si>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</si>
  <si>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</si>
  <si>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</si>
  <si>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</si>
  <si>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</si>
  <si>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</si>
  <si>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</si>
  <si>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</si>
  <si>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</si>
  <si>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</si>
  <si>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</si>
  <si>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</si>
  <si>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</si>
  <si>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</si>
  <si>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</si>
  <si>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</si>
  <si>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</si>
  <si>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</si>
  <si>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</si>
  <si>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</si>
  <si>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</si>
  <si>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</si>
  <si>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</si>
  <si>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</si>
  <si>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</si>
  <si>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</si>
  <si>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</si>
  <si>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</si>
  <si>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</si>
  <si>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</si>
  <si>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</si>
  <si>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</si>
  <si>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</si>
  <si>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</si>
  <si>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</si>
  <si>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</si>
  <si>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</si>
  <si>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</si>
  <si>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</si>
  <si>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</si>
  <si>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</si>
  <si>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</si>
  <si>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</si>
  <si>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</si>
  <si>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</si>
  <si>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</si>
  <si>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</si>
  <si>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</si>
  <si>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</si>
  <si>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</si>
  <si>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</si>
  <si>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</si>
  <si>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</si>
  <si>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</si>
  <si>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</si>
  <si>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</si>
  <si>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</si>
  <si>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</si>
  <si>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</si>
  <si>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</si>
  <si>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</si>
  <si>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</si>
  <si>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</si>
  <si>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</si>
  <si>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</si>
  <si>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</si>
  <si>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</si>
  <si>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</si>
  <si>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</si>
  <si>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</si>
  <si>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</si>
  <si>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</si>
  <si>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</si>
  <si>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</si>
  <si>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</si>
  <si>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</si>
  <si>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</si>
  <si>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</si>
  <si>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</si>
  <si>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</si>
  <si>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</si>
  <si>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</si>
  <si>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</si>
  <si>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</si>
  <si>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</si>
  <si>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</si>
  <si>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</si>
  <si>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</si>
  <si>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</si>
  <si>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</si>
  <si>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</si>
  <si>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</si>
  <si>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</si>
  <si>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</si>
  <si>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</si>
  <si>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</si>
  <si>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</si>
  <si>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</si>
  <si>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</si>
  <si>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</si>
  <si>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</si>
  <si>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</si>
  <si>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</si>
  <si>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</si>
  <si>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</si>
  <si>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</si>
  <si>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</si>
  <si>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</si>
  <si>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</si>
  <si>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</si>
  <si>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</si>
  <si>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</si>
  <si>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</si>
  <si>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</si>
  <si>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</si>
  <si>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</si>
  <si>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</si>
  <si>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</si>
  <si>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</si>
  <si>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</si>
  <si>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</si>
  <si>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</si>
  <si>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</si>
  <si>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</si>
  <si>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</si>
  <si>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</si>
  <si>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</si>
  <si>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</si>
  <si>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</si>
  <si>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</si>
  <si>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</si>
  <si>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</si>
  <si>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</si>
  <si>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</si>
  <si>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</si>
  <si>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</si>
  <si>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</si>
  <si>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</si>
  <si>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</si>
  <si>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</si>
  <si>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</si>
  <si>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</si>
  <si>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</si>
  <si>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</si>
  <si>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</si>
  <si>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</si>
  <si>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</si>
  <si>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</si>
  <si>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</si>
  <si>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</si>
  <si>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</si>
  <si>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</si>
  <si>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</si>
  <si>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</si>
  <si>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</si>
  <si>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</si>
  <si>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</si>
  <si>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</si>
  <si>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</si>
  <si>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</si>
  <si>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</si>
  <si>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</si>
  <si>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</si>
  <si>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</si>
  <si>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</si>
  <si>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</si>
  <si>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</si>
  <si>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</si>
  <si>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</si>
  <si>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</si>
  <si>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</si>
  <si>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</si>
  <si>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</si>
  <si>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</si>
  <si>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</si>
  <si>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</si>
  <si>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</si>
  <si>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</si>
  <si>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</si>
  <si>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</si>
  <si>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</si>
  <si>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</si>
  <si>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</si>
  <si>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</si>
  <si>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</si>
  <si>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</si>
  <si>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</si>
  <si>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</si>
  <si>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</si>
  <si>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</si>
  <si>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</si>
  <si>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</si>
  <si>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</si>
  <si>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</si>
  <si>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</si>
  <si>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</si>
  <si>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</si>
  <si>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</si>
  <si>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</si>
  <si>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</si>
  <si>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</si>
  <si>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</si>
  <si>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</si>
  <si>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</si>
  <si>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</si>
  <si>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</si>
  <si>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</si>
  <si>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</si>
  <si>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</si>
  <si>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</si>
  <si>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</si>
  <si>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</si>
  <si>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</si>
  <si>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</si>
  <si>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</si>
  <si>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</si>
  <si>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</si>
  <si>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</si>
  <si>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</si>
  <si>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</si>
  <si>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</si>
  <si>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</si>
  <si>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</si>
  <si>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</si>
  <si>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</si>
  <si>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</si>
  <si>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</si>
  <si>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</si>
  <si>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</si>
  <si>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</si>
  <si>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</si>
  <si>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</si>
  <si>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</si>
  <si>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</si>
  <si>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</si>
  <si>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</si>
  <si>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</si>
  <si>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</si>
  <si>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</si>
  <si>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</si>
  <si>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</si>
  <si>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</si>
  <si>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</si>
  <si>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</si>
  <si>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</si>
  <si>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</si>
  <si>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</si>
  <si>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</si>
  <si>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</si>
  <si>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</si>
  <si>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</si>
  <si>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</si>
  <si>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</si>
  <si>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</si>
  <si>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</si>
  <si>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</si>
  <si>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</si>
  <si>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</si>
  <si>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</si>
  <si>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</si>
  <si>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</si>
  <si>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</si>
  <si>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</si>
  <si>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</si>
  <si>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</si>
  <si>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</si>
  <si>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</si>
  <si>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</si>
  <si>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</si>
  <si>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</si>
  <si>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</si>
  <si>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</si>
  <si>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</si>
  <si>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</si>
  <si>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</si>
  <si>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</si>
  <si>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</si>
  <si>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</si>
  <si>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</si>
  <si>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</si>
  <si>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</si>
  <si>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</si>
  <si>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</si>
  <si>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</si>
  <si>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</si>
  <si>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</si>
  <si>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</si>
  <si>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</si>
  <si>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</si>
  <si>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</si>
  <si>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</si>
  <si>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</si>
  <si>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</si>
  <si>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</si>
  <si>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</si>
  <si>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</si>
  <si>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</si>
  <si>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</si>
  <si>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</si>
  <si>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</si>
  <si>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</si>
  <si>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</si>
  <si>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</si>
  <si>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</si>
  <si>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</si>
  <si>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</si>
  <si>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</si>
  <si>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</si>
  <si>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</si>
  <si>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</si>
  <si>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</si>
  <si>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</si>
  <si>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</si>
  <si>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</si>
  <si>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</si>
  <si>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</si>
  <si>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</si>
  <si>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</si>
  <si>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</si>
  <si>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</si>
  <si>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</si>
  <si>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</si>
  <si>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</si>
  <si>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</si>
  <si>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</si>
  <si>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</si>
  <si>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</si>
  <si>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</si>
  <si>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</si>
  <si>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</si>
  <si>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</si>
  <si>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</si>
  <si>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</si>
  <si>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</si>
  <si>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</si>
  <si>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</si>
  <si>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</si>
  <si>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</si>
  <si>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</si>
  <si>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</si>
  <si>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</si>
  <si>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</si>
  <si>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</si>
  <si>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</si>
  <si>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</si>
  <si>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</si>
  <si>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</si>
  <si>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</si>
  <si>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</si>
  <si>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</si>
  <si>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</si>
  <si>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</si>
  <si>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</si>
  <si>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</si>
  <si>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</si>
  <si>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</si>
  <si>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</si>
  <si>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</si>
  <si>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</si>
  <si>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</si>
  <si>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</si>
  <si>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</si>
  <si>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</si>
  <si>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</si>
  <si>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</si>
  <si>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</si>
  <si>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</si>
  <si>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</si>
  <si>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</si>
  <si>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</si>
  <si>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</si>
  <si>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</si>
  <si>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</si>
  <si>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</si>
  <si>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</si>
  <si>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</si>
  <si>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</si>
  <si>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</si>
  <si>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</si>
  <si>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</si>
  <si>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</si>
  <si>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</si>
  <si>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</si>
  <si>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</si>
  <si>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</si>
  <si>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</si>
  <si>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</si>
  <si>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</si>
  <si>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</si>
  <si>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</si>
  <si>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</si>
  <si>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</si>
  <si>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</si>
  <si>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</si>
  <si>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</si>
  <si>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</si>
  <si>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</si>
  <si>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</si>
  <si>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</si>
  <si>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</si>
  <si>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</si>
  <si>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</si>
  <si>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</si>
  <si>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</si>
  <si>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</si>
  <si>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</si>
  <si>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</si>
  <si>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</si>
  <si>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</si>
  <si>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</si>
  <si>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</si>
  <si>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</si>
  <si>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</si>
  <si>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</si>
  <si>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</si>
  <si>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</si>
  <si>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</si>
  <si>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</si>
  <si>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</si>
  <si>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</si>
  <si>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</si>
  <si>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</si>
  <si>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</si>
  <si>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</si>
  <si>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</si>
  <si>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</si>
  <si>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</si>
  <si>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</si>
  <si>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</si>
  <si>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</si>
  <si>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</si>
  <si>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</si>
  <si>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</si>
  <si>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</si>
  <si>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</si>
  <si>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</si>
  <si>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</si>
  <si>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</si>
  <si>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</si>
  <si>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</si>
  <si>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</si>
  <si>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</si>
  <si>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</si>
  <si>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</si>
  <si>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</si>
  <si>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</si>
  <si>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</si>
  <si>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</si>
  <si>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</si>
  <si>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</si>
  <si>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</si>
  <si>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</si>
  <si>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</si>
  <si>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</si>
  <si>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</si>
  <si>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</si>
  <si>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</si>
  <si>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</si>
  <si>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</si>
  <si>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</si>
  <si>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</si>
  <si>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</si>
  <si>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</si>
  <si>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</si>
  <si>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</si>
  <si>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</si>
  <si>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</si>
  <si>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</si>
  <si>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</si>
  <si>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</si>
  <si>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</si>
  <si>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</si>
  <si>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</si>
  <si>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</si>
  <si>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</si>
  <si>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</si>
  <si>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</si>
  <si>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</si>
  <si>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</si>
  <si>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</si>
  <si>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</si>
  <si>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</si>
  <si>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</si>
  <si>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</si>
  <si>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</si>
  <si>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</si>
  <si>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</si>
  <si>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</si>
  <si>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</si>
  <si>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</si>
  <si>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</si>
  <si>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</si>
  <si>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</si>
  <si>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</si>
  <si>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</si>
  <si>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</si>
  <si>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</si>
  <si>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</si>
  <si>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</si>
  <si>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</si>
  <si>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</si>
  <si>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</si>
  <si>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</si>
  <si>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</si>
  <si>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</si>
  <si>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</si>
  <si>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</si>
  <si>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</si>
  <si>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</si>
  <si>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</si>
  <si>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</si>
  <si>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</si>
  <si>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</si>
  <si>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</si>
  <si>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</si>
  <si>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</si>
  <si>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</si>
  <si>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</si>
  <si>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</si>
  <si>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</si>
  <si>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</si>
  <si>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</si>
  <si>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</si>
  <si>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</si>
  <si>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</si>
  <si>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</si>
  <si>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</si>
  <si>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</si>
  <si>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</si>
  <si>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</si>
  <si>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</si>
  <si>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</si>
  <si>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</si>
  <si>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</si>
  <si>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</si>
  <si>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</si>
  <si>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</si>
  <si>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</si>
  <si>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</si>
  <si>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</si>
  <si>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</si>
  <si>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</si>
  <si>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</si>
  <si>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</si>
  <si>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</si>
  <si>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</si>
  <si>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</si>
  <si>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</si>
  <si>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</si>
  <si>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</si>
  <si>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</si>
  <si>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</si>
  <si>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</si>
  <si>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</si>
  <si>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</si>
  <si>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</si>
  <si>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</si>
  <si>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</si>
  <si>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</si>
  <si>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</si>
  <si>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</si>
  <si>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</si>
  <si>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</si>
  <si>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</si>
  <si>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</si>
  <si>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</si>
  <si>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</si>
  <si>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</si>
  <si>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</si>
  <si>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</si>
  <si>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</si>
  <si>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</si>
  <si>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</si>
  <si>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</si>
  <si>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</si>
  <si>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</si>
  <si>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</si>
  <si>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</si>
  <si>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</si>
  <si>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</si>
  <si>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</si>
  <si>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</si>
  <si>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</si>
  <si>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</si>
  <si>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</si>
  <si>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</si>
  <si>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</si>
  <si>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</si>
  <si>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</si>
  <si>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</si>
  <si>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</si>
  <si>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</si>
  <si>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</si>
  <si>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</si>
  <si>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</si>
  <si>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</si>
  <si>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</si>
  <si>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</si>
  <si>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</si>
  <si>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</si>
  <si>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</si>
  <si>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</si>
  <si>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</si>
  <si>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</si>
  <si>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</si>
  <si>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</si>
  <si>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</si>
  <si>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</si>
  <si>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</si>
  <si>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</si>
  <si>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</si>
  <si>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</si>
  <si>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</si>
  <si>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</si>
  <si>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</si>
  <si>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</si>
  <si>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</si>
  <si>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</si>
  <si>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</si>
  <si>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</si>
  <si>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</si>
  <si>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</si>
  <si>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</si>
  <si>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</si>
  <si>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</si>
  <si>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</si>
  <si>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</si>
  <si>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</si>
  <si>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</si>
  <si>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</si>
  <si>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</si>
  <si>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</si>
  <si>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</si>
  <si>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</si>
  <si>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</si>
  <si>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</si>
  <si>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</si>
  <si>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</si>
  <si>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</si>
  <si>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</si>
  <si>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</si>
  <si>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</si>
  <si>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</si>
  <si>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</si>
  <si>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</si>
  <si>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</si>
  <si>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</si>
  <si>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</si>
  <si>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</si>
  <si>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</si>
  <si>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</si>
  <si>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</si>
  <si>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</si>
  <si>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</si>
  <si>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</si>
  <si>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</si>
  <si>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</si>
  <si>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</si>
  <si>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</si>
  <si>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</si>
  <si>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</si>
  <si>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</si>
  <si>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</si>
  <si>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</si>
  <si>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</si>
  <si>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</si>
  <si>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</si>
  <si>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</si>
  <si>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</si>
  <si>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</si>
  <si>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</si>
  <si>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</si>
  <si>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</si>
  <si>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</si>
  <si>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</si>
  <si>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</si>
  <si>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</si>
  <si>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</si>
  <si>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</si>
  <si>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</si>
  <si>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</si>
  <si>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</si>
  <si>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</si>
  <si>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</si>
  <si>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</si>
  <si>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</si>
  <si>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</si>
  <si>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</si>
  <si>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</si>
  <si>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</si>
  <si>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</si>
  <si>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</si>
  <si>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</si>
  <si>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</si>
  <si>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</si>
  <si>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</si>
  <si>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</si>
  <si>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</si>
  <si>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</si>
  <si>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</si>
  <si>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</si>
  <si>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</si>
  <si>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</si>
  <si>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</si>
  <si>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</si>
  <si>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</si>
  <si>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</si>
  <si>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</si>
  <si>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</si>
  <si>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</si>
  <si>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</si>
  <si>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</si>
  <si>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</si>
  <si>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</si>
  <si>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</si>
  <si>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</si>
  <si>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</si>
  <si>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</si>
  <si>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</si>
  <si>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</si>
  <si>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</si>
  <si>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</si>
  <si>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</si>
  <si>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</si>
  <si>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</si>
  <si>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</si>
  <si>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</si>
  <si>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</si>
  <si>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</si>
  <si>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</si>
  <si>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</si>
  <si>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</si>
  <si>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</si>
  <si>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</si>
  <si>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</si>
  <si>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</si>
  <si>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</si>
  <si>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</si>
  <si>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</si>
  <si>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</si>
  <si>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</si>
  <si>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</si>
  <si>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</si>
  <si>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</si>
  <si>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</si>
  <si>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</si>
  <si>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</si>
  <si>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</si>
  <si>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</si>
  <si>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</si>
  <si>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</si>
  <si>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</si>
  <si>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</si>
  <si>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</si>
  <si>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</si>
  <si>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</si>
  <si>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</si>
  <si>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</si>
  <si>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</si>
  <si>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</si>
  <si>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</si>
  <si>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</si>
  <si>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</si>
  <si>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</si>
  <si>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</si>
  <si>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</si>
  <si>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</si>
  <si>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</si>
  <si>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</si>
  <si>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</si>
  <si>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</si>
  <si>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</si>
  <si>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</si>
  <si>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</si>
  <si>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</si>
  <si>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</si>
  <si>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</si>
  <si>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</si>
  <si>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</si>
  <si>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</si>
  <si>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</si>
  <si>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</si>
  <si>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</si>
  <si>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</si>
  <si>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</si>
  <si>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</si>
  <si>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</si>
  <si>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</si>
  <si>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</si>
  <si>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</si>
  <si>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</si>
  <si>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</si>
  <si>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</si>
  <si>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</si>
  <si>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</si>
  <si>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</si>
  <si>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</si>
  <si>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</si>
  <si>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</si>
  <si>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</si>
  <si>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</si>
  <si>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</si>
  <si>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</si>
  <si>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</si>
  <si>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</si>
  <si>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</si>
  <si>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</si>
  <si>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</si>
  <si>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</si>
  <si>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</si>
  <si>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</si>
  <si>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</si>
  <si>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</si>
  <si>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</si>
  <si>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</si>
  <si>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</si>
  <si>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</si>
  <si>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</si>
  <si>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</si>
  <si>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</si>
  <si>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</si>
  <si>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</si>
  <si>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</si>
  <si>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</si>
  <si>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</si>
  <si>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</si>
  <si>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</si>
  <si>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</si>
  <si>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</si>
  <si>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</si>
  <si>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</si>
  <si>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</si>
  <si>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</si>
  <si>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</si>
  <si>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</si>
  <si>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</si>
  <si>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</si>
  <si>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</si>
  <si>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</si>
  <si>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</si>
  <si>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</si>
  <si>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</si>
  <si>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</si>
  <si>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</si>
  <si>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</si>
  <si>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</si>
  <si>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</si>
  <si>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</si>
  <si>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</si>
  <si>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</si>
  <si>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</si>
  <si>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</si>
  <si>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</si>
  <si>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</si>
  <si>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</si>
  <si>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</si>
  <si>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</si>
  <si>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</si>
  <si>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</si>
  <si>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</si>
  <si>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</si>
  <si>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</si>
  <si>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</si>
  <si>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</si>
  <si>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</si>
  <si>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</si>
  <si>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</si>
  <si>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</si>
  <si>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</si>
  <si>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</si>
  <si>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</si>
  <si>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</si>
  <si>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</si>
  <si>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</si>
  <si>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</si>
  <si>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</si>
  <si>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</si>
  <si>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</si>
  <si>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</si>
  <si>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</si>
  <si>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</si>
  <si>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</si>
  <si>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</si>
  <si>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</si>
  <si>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</si>
  <si>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</si>
  <si>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</si>
  <si>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</si>
  <si>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</si>
  <si>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</si>
  <si>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</si>
  <si>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</si>
  <si>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</si>
  <si>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</si>
  <si>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</si>
  <si>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</si>
  <si>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</si>
  <si>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</si>
  <si>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</si>
  <si>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</si>
  <si>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</si>
  <si>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</si>
  <si>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</si>
  <si>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</si>
  <si>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</si>
  <si>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</si>
  <si>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</si>
  <si>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</si>
  <si>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</si>
  <si>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</si>
  <si>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</si>
  <si>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</si>
  <si>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</si>
  <si>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</si>
  <si>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</si>
  <si>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</si>
  <si>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</si>
  <si>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</si>
  <si>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</si>
  <si>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</si>
  <si>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</si>
  <si>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</si>
  <si>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</si>
  <si>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</si>
  <si>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</si>
  <si>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</si>
  <si>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</si>
  <si>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</si>
  <si>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</si>
  <si>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</si>
  <si>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</si>
  <si>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</si>
  <si>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</si>
  <si>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</si>
  <si>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</si>
  <si>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</si>
  <si>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</si>
  <si>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</si>
  <si>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</si>
  <si>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</si>
  <si>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</si>
  <si>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</si>
  <si>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</si>
  <si>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</si>
  <si>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</si>
  <si>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</si>
  <si>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</si>
  <si>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</si>
  <si>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</si>
  <si>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</si>
  <si>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</si>
  <si>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</si>
  <si>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</si>
  <si>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</si>
  <si>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</si>
  <si>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</si>
  <si>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</si>
  <si>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</si>
  <si>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</si>
  <si>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</si>
  <si>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</si>
  <si>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</si>
  <si>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</si>
  <si>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</si>
  <si>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</si>
  <si>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</si>
  <si>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</si>
  <si>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</si>
  <si>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</si>
  <si>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</si>
  <si>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</si>
  <si>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</si>
  <si>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</si>
  <si>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</si>
  <si>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</si>
  <si>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</si>
  <si>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</si>
  <si>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</si>
  <si>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</si>
  <si>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</si>
  <si>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</si>
  <si>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</si>
  <si>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</si>
  <si>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</si>
  <si>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</si>
  <si>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</si>
  <si>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</si>
  <si>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</si>
  <si>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</si>
  <si>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</si>
  <si>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</si>
  <si>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</si>
  <si>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</si>
  <si>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</si>
  <si>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</si>
  <si>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</si>
  <si>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</si>
  <si>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</si>
  <si>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</si>
  <si>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</si>
  <si>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</si>
  <si>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</si>
  <si>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</si>
  <si>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</si>
  <si>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</si>
  <si>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</si>
  <si>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</si>
  <si>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</si>
  <si>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</si>
  <si>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</si>
  <si>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</si>
  <si>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</si>
  <si>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</si>
  <si>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</si>
  <si>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</si>
  <si>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</si>
  <si>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</si>
  <si>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</si>
  <si>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</si>
  <si>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</si>
  <si>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</si>
  <si>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</si>
  <si>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</si>
  <si>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</si>
  <si>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</si>
  <si>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</si>
  <si>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</si>
  <si>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</si>
  <si>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</si>
  <si>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</si>
  <si>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</si>
  <si>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</si>
  <si>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</si>
  <si>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</si>
  <si>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</si>
  <si>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</si>
  <si>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</si>
  <si>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</si>
  <si>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</si>
  <si>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</si>
  <si>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</si>
  <si>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</si>
  <si>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</si>
  <si>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</si>
  <si>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</si>
  <si>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</si>
  <si>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</si>
  <si>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</si>
  <si>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</si>
  <si>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</si>
  <si>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</si>
  <si>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</si>
  <si>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</si>
  <si>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</si>
  <si>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</si>
  <si>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</si>
  <si>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</si>
  <si>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</si>
  <si>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</si>
  <si>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</si>
  <si>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</si>
  <si>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</si>
  <si>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</si>
  <si>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</si>
  <si>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</si>
  <si>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</si>
  <si>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</si>
  <si>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</si>
  <si>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</si>
  <si>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</si>
  <si>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</si>
  <si>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</si>
  <si>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</si>
  <si>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</si>
  <si>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</si>
  <si>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</si>
  <si>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</si>
  <si>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</si>
  <si>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</si>
  <si>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</si>
  <si>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</si>
  <si>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</si>
  <si>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</si>
  <si>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</si>
  <si>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</si>
  <si>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</si>
  <si>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</si>
  <si>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</si>
  <si>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</si>
  <si>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</si>
  <si>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</si>
  <si>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</si>
  <si>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</si>
  <si>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</si>
  <si>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</si>
  <si>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</si>
  <si>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</si>
  <si>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</si>
  <si>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</si>
  <si>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</si>
  <si>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</si>
  <si>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</si>
  <si>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</si>
  <si>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</si>
  <si>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</si>
  <si>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</si>
  <si>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</si>
  <si>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</si>
  <si>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</si>
  <si>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</si>
  <si>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</si>
  <si>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</si>
  <si>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</si>
  <si>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</si>
  <si>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</si>
  <si>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</si>
  <si>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</si>
  <si>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</si>
  <si>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</si>
  <si>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</si>
  <si>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</si>
  <si>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</si>
  <si>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</si>
  <si>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</si>
  <si>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</si>
  <si>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</si>
  <si>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</si>
  <si>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</si>
  <si>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</si>
  <si>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</si>
  <si>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</si>
  <si>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</si>
  <si>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</si>
  <si>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</si>
  <si>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</si>
  <si>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</si>
  <si>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</si>
  <si>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</si>
  <si>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</si>
  <si>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</si>
  <si>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</si>
  <si>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</si>
  <si>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</si>
  <si>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</si>
  <si>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</si>
  <si>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</si>
  <si>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</si>
  <si>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</si>
  <si>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</si>
  <si>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</si>
  <si>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</si>
  <si>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</si>
  <si>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</si>
  <si>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</si>
  <si>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</si>
  <si>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</si>
  <si>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</si>
  <si>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</si>
  <si>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</si>
  <si>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</si>
  <si>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</si>
  <si>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</si>
  <si>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</si>
  <si>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</si>
  <si>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</si>
  <si>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</si>
  <si>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</si>
  <si>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</si>
  <si>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</si>
  <si>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</si>
  <si>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</si>
  <si>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</si>
  <si>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</si>
  <si>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</si>
  <si>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</si>
  <si>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</si>
  <si>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</si>
  <si>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</si>
  <si>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</si>
  <si>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</si>
  <si>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</si>
  <si>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</si>
  <si>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</si>
  <si>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</si>
  <si>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</si>
  <si>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</si>
  <si>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</si>
  <si>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</si>
  <si>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</si>
  <si>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</si>
  <si>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</si>
  <si>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</si>
  <si>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</si>
  <si>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</si>
  <si>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</si>
  <si>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</si>
  <si>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</si>
  <si>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</si>
  <si>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</si>
  <si>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</si>
  <si>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</si>
  <si>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</si>
  <si>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</si>
  <si>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</si>
  <si>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</si>
  <si>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</si>
  <si>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</si>
  <si>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</si>
  <si>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</si>
  <si>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</si>
  <si>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</si>
  <si>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</si>
  <si>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</si>
  <si>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</si>
  <si>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</si>
  <si>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</si>
  <si>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</si>
  <si>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</si>
  <si>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</si>
  <si>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</si>
  <si>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</si>
  <si>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</si>
  <si>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</si>
  <si>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</si>
  <si>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</si>
  <si>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</si>
  <si>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</si>
  <si>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</si>
  <si>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</si>
  <si>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</si>
  <si>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</si>
  <si>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</si>
  <si>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</si>
  <si>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</si>
  <si>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</si>
  <si>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</si>
  <si>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</si>
  <si>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</si>
  <si>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</si>
  <si>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</si>
  <si>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</si>
  <si>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</si>
  <si>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</si>
  <si>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</si>
  <si>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</si>
  <si>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</si>
  <si>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</si>
  <si>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</si>
  <si>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</si>
  <si>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</si>
  <si>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</si>
  <si>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</si>
  <si>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</si>
  <si>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</si>
  <si>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</si>
  <si>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</si>
  <si>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</si>
  <si>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</si>
  <si>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</si>
  <si>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</si>
  <si>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</si>
  <si>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</si>
  <si>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</si>
  <si>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</si>
  <si>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</si>
  <si>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</si>
  <si>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</si>
  <si>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</si>
  <si>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</si>
  <si>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</si>
  <si>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</si>
  <si>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</si>
  <si>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</si>
  <si>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</si>
  <si>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</si>
  <si>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</si>
  <si>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</si>
  <si>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</si>
  <si>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</si>
  <si>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</si>
  <si>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</si>
  <si>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</si>
  <si>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</si>
  <si>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</si>
  <si>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</si>
  <si>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</si>
  <si>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</si>
  <si>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</si>
  <si>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</si>
  <si>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</si>
  <si>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</si>
  <si>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</si>
  <si>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</si>
  <si>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</si>
  <si>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</si>
  <si>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</si>
  <si>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</si>
  <si>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</si>
  <si>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</si>
  <si>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</si>
  <si>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</si>
  <si>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</si>
  <si>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</si>
  <si>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</si>
  <si>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</si>
  <si>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</si>
  <si>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</si>
  <si>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</si>
  <si>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</si>
  <si>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</si>
  <si>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</si>
  <si>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</si>
  <si>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</si>
  <si>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</si>
  <si>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</si>
  <si>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</si>
  <si>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</si>
  <si>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</si>
  <si>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</si>
  <si>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</si>
  <si>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</si>
  <si>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</si>
  <si>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</si>
  <si>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</si>
  <si>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</si>
  <si>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</si>
  <si>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</si>
  <si>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</si>
  <si>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</si>
  <si>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</si>
  <si>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</si>
  <si>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</si>
  <si>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</si>
  <si>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</si>
  <si>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</si>
  <si>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</si>
  <si>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</si>
  <si>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</si>
  <si>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</si>
  <si>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</si>
  <si>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</si>
  <si>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</si>
  <si>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</si>
  <si>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</si>
  <si>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</si>
  <si>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</si>
  <si>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</si>
  <si>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</si>
  <si>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</si>
  <si>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</si>
  <si>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</si>
  <si>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</si>
  <si>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</si>
  <si>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</si>
  <si>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</si>
  <si>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</si>
  <si>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</si>
  <si>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</si>
  <si>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</si>
  <si>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</si>
  <si>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</si>
  <si>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</si>
  <si>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</si>
  <si>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</si>
  <si>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</si>
  <si>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</si>
  <si>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</si>
  <si>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</si>
  <si>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</si>
  <si>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</si>
  <si>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</si>
  <si>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</si>
  <si>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</si>
  <si>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</si>
  <si>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</si>
  <si>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</si>
  <si>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</si>
  <si>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</si>
  <si>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</si>
  <si>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</si>
  <si>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</si>
  <si>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</si>
  <si>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</si>
  <si>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</si>
  <si>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</si>
  <si>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</si>
  <si>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</si>
  <si>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</si>
  <si>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</si>
  <si>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</si>
  <si>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</si>
  <si>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</si>
  <si>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</si>
  <si>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</si>
  <si>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</si>
  <si>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</si>
  <si>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</si>
  <si>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</si>
  <si>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</si>
  <si>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</si>
  <si>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</si>
  <si>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</si>
  <si>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</si>
  <si>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</si>
  <si>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</si>
  <si>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</si>
  <si>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</si>
  <si>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</si>
  <si>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</si>
  <si>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</si>
  <si>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</si>
  <si>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</si>
  <si>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</si>
  <si>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</si>
  <si>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</si>
  <si>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</si>
  <si>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</si>
  <si>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</si>
  <si>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</si>
  <si>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</si>
  <si>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</si>
  <si>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</si>
  <si>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</si>
  <si>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</si>
  <si>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</si>
  <si>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</si>
  <si>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</si>
  <si>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</si>
  <si>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</si>
  <si>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</si>
  <si>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</si>
  <si>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</si>
  <si>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</si>
  <si>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</si>
  <si>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</si>
  <si>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</si>
  <si>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</si>
  <si>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</si>
  <si>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</si>
  <si>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</si>
  <si>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</si>
  <si>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</si>
  <si>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</si>
  <si>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</si>
  <si>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</si>
  <si>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</si>
  <si>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</si>
  <si>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</si>
  <si>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</si>
  <si>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</si>
  <si>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</si>
  <si>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</si>
  <si>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</si>
  <si>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</si>
  <si>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</si>
  <si>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</si>
  <si>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</si>
  <si>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</si>
  <si>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</si>
  <si>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</si>
  <si>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</si>
  <si>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</si>
  <si>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</si>
  <si>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</si>
  <si>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</si>
  <si>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</si>
  <si>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</si>
  <si>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</si>
  <si>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</si>
  <si>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</si>
  <si>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</si>
  <si>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</si>
  <si>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</si>
  <si>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</si>
  <si>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</si>
  <si>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</si>
  <si>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</si>
  <si>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</si>
  <si>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</si>
  <si>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</si>
  <si>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</si>
  <si>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</si>
  <si>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</si>
  <si>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</si>
  <si>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</si>
  <si>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</si>
  <si>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</si>
  <si>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</si>
  <si>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</si>
  <si>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</si>
  <si>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</si>
  <si>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</si>
  <si>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</si>
  <si>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</si>
  <si>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</si>
  <si>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</si>
  <si>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</si>
  <si>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</si>
  <si>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</si>
  <si>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</si>
  <si>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</si>
  <si>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</si>
  <si>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</si>
  <si>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</si>
  <si>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</si>
  <si>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</si>
  <si>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</si>
  <si>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</si>
  <si>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</si>
  <si>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</si>
  <si>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</si>
  <si>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</si>
  <si>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</si>
  <si>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</si>
  <si>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</si>
  <si>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</si>
  <si>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</si>
  <si>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</si>
  <si>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</si>
  <si>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</si>
  <si>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</si>
  <si>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</si>
  <si>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</si>
  <si>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</si>
  <si>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</si>
  <si>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</si>
  <si>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</si>
  <si>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</si>
  <si>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</si>
  <si>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</si>
  <si>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</si>
  <si>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</si>
  <si>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</si>
  <si>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</si>
  <si>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</si>
  <si>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</si>
  <si>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</si>
  <si>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</si>
  <si>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</si>
  <si>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</si>
  <si>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</si>
  <si>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</si>
  <si>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</si>
  <si>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</si>
  <si>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</si>
  <si>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</si>
  <si>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</si>
  <si>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</si>
  <si>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</si>
  <si>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</si>
  <si>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</si>
  <si>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</si>
  <si>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</si>
  <si>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</si>
  <si>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</si>
  <si>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</si>
  <si>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</si>
  <si>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</si>
  <si>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</si>
  <si>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</si>
  <si>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</si>
  <si>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</si>
  <si>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</si>
  <si>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</si>
  <si>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</si>
  <si>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</si>
  <si>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</si>
  <si>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</si>
  <si>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</si>
  <si>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</si>
  <si>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</si>
  <si>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</si>
  <si>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</si>
  <si>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</si>
  <si>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</si>
  <si>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</si>
  <si>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</si>
  <si>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</si>
  <si>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</si>
  <si>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</si>
  <si>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</si>
  <si>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</si>
  <si>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</si>
  <si>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</si>
  <si>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</si>
  <si>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</si>
  <si>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</si>
  <si>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</si>
  <si>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</si>
  <si>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</si>
  <si>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</si>
  <si>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</si>
  <si>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</si>
  <si>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</si>
  <si>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</si>
  <si>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</si>
  <si>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</si>
  <si>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</si>
  <si>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</si>
  <si>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</si>
  <si>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</si>
  <si>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</si>
  <si>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</si>
  <si>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</si>
  <si>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</si>
  <si>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</si>
  <si>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</si>
  <si>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</si>
  <si>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</si>
  <si>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</si>
  <si>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</si>
  <si>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</si>
  <si>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</si>
  <si>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</si>
  <si>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</si>
  <si>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</si>
  <si>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</si>
  <si>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</si>
  <si>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</si>
  <si>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</si>
  <si>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</si>
  <si>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</si>
  <si>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</si>
  <si>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</si>
  <si>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</si>
  <si>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</si>
  <si>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</si>
  <si>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</si>
  <si>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</si>
  <si>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</si>
  <si>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</si>
  <si>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</si>
  <si>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</si>
  <si>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</si>
  <si>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</si>
  <si>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</si>
  <si>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</si>
  <si>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</si>
  <si>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</si>
  <si>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</si>
  <si>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</si>
  <si>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</si>
  <si>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</si>
  <si>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</si>
  <si>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</si>
  <si>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</si>
  <si>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</si>
  <si>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</si>
  <si>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</si>
  <si>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</si>
  <si>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</si>
  <si>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</si>
  <si>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</si>
  <si>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</si>
  <si>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</si>
  <si>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</si>
  <si>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</si>
  <si>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</si>
  <si>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</si>
  <si>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</si>
  <si>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</si>
  <si>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</si>
  <si>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</si>
  <si>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</si>
  <si>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</si>
  <si>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</si>
  <si>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</si>
  <si>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</si>
  <si>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</si>
  <si>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</si>
  <si>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</si>
  <si>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</si>
  <si>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</si>
  <si>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</si>
  <si>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</si>
  <si>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</si>
  <si>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</si>
  <si>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</si>
  <si>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</si>
  <si>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</si>
  <si>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</si>
  <si>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</si>
  <si>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</si>
  <si>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</si>
  <si>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</si>
  <si>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</si>
  <si>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</si>
  <si>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</si>
  <si>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</si>
  <si>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</si>
  <si>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</si>
  <si>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</si>
  <si>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</si>
  <si>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</si>
  <si>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</si>
  <si>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</si>
  <si>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</si>
  <si>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</si>
  <si>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</si>
  <si>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</si>
  <si>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</si>
  <si>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</si>
  <si>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</si>
  <si>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</si>
  <si>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</si>
  <si>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</si>
  <si>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</si>
  <si>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</si>
  <si>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</si>
  <si>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</si>
  <si>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</si>
  <si>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</si>
  <si>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</si>
  <si>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</si>
  <si>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</si>
  <si>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</si>
  <si>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</si>
  <si>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</si>
  <si>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</si>
  <si>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</si>
  <si>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</si>
  <si>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</si>
  <si>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</si>
  <si>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</si>
  <si>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</si>
  <si>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</si>
  <si>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</si>
  <si>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</si>
  <si>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</si>
  <si>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</si>
  <si>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</si>
  <si>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</si>
  <si>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</si>
  <si>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</si>
  <si>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</si>
  <si>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</si>
  <si>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</si>
  <si>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</si>
  <si>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</si>
  <si>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</si>
  <si>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</si>
  <si>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</si>
  <si>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</si>
  <si>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</si>
  <si>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</si>
  <si>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</si>
  <si>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</si>
  <si>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</si>
  <si>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</si>
  <si>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</si>
  <si>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</si>
  <si>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</si>
  <si>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</si>
  <si>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</si>
  <si>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</si>
  <si>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</si>
  <si>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</si>
  <si>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</si>
  <si>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</si>
  <si>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</si>
  <si>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</si>
  <si>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</si>
  <si>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</si>
  <si>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</si>
  <si>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</si>
  <si>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</si>
  <si>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</si>
  <si>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</si>
  <si>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</si>
  <si>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</si>
  <si>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</si>
  <si>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</si>
  <si>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</si>
  <si>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</si>
  <si>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</si>
  <si>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</si>
  <si>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</si>
  <si>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</si>
  <si>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</si>
  <si>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</si>
  <si>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</si>
  <si>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</si>
  <si>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</si>
  <si>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</si>
  <si>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</si>
  <si>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</si>
  <si>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</si>
  <si>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</si>
  <si>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</si>
  <si>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</si>
  <si>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</si>
  <si>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</si>
  <si>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</si>
  <si>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</si>
  <si>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</si>
  <si>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</si>
  <si>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</si>
  <si>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</si>
  <si>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</si>
  <si>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</si>
  <si>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</si>
  <si>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</si>
  <si>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</si>
  <si>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</si>
  <si>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</si>
  <si>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</si>
  <si>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</si>
  <si>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</si>
  <si>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</si>
  <si>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</si>
  <si>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</si>
  <si>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</si>
  <si>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</si>
  <si>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</si>
  <si>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</si>
  <si>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</si>
  <si>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</si>
  <si>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</si>
  <si>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</si>
  <si>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</si>
  <si>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</si>
  <si>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</si>
  <si>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</si>
  <si>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</si>
  <si>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</si>
  <si>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</si>
  <si>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</si>
  <si>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</si>
  <si>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</si>
  <si>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</si>
  <si>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</si>
  <si>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</si>
  <si>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</si>
  <si>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</si>
  <si>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</si>
  <si>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</si>
  <si>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</si>
  <si>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</si>
  <si>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</si>
  <si>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</si>
  <si>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</si>
  <si>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</si>
  <si>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</si>
  <si>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</si>
  <si>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</si>
  <si>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</si>
  <si>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</si>
  <si>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</si>
  <si>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</si>
  <si>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</si>
  <si>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</si>
  <si>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</si>
  <si>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</si>
  <si>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</si>
  <si>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</si>
  <si>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</si>
  <si>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</si>
  <si>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</si>
  <si>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</si>
  <si>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</si>
  <si>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</si>
  <si>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</si>
  <si>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</si>
  <si>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</si>
  <si>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</si>
  <si>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</si>
  <si>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</si>
  <si>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</si>
  <si>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</si>
  <si>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</si>
  <si>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</si>
  <si>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</si>
  <si>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</si>
  <si>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</si>
  <si>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</si>
  <si>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</si>
  <si>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</si>
  <si>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</si>
  <si>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</si>
  <si>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</si>
  <si>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</si>
  <si>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</si>
  <si>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</si>
  <si>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</si>
  <si>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</si>
  <si>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</si>
  <si>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</si>
  <si>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</si>
  <si>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</si>
  <si>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</si>
  <si>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</si>
  <si>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</si>
  <si>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</si>
  <si>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</si>
  <si>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</si>
  <si>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</si>
  <si>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</si>
  <si>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</si>
  <si>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</si>
  <si>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</si>
  <si>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</si>
  <si>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</si>
  <si>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</si>
  <si>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</si>
  <si>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</si>
  <si>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</si>
  <si>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</si>
  <si>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</si>
  <si>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</si>
  <si>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</si>
  <si>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</si>
  <si>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</si>
  <si>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</si>
  <si>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</si>
  <si>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</si>
  <si>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</si>
  <si>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</si>
  <si>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</si>
  <si>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</si>
  <si>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</si>
  <si>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</si>
  <si>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</si>
  <si>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</si>
  <si>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</si>
  <si>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</si>
  <si>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</si>
  <si>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</si>
  <si>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</si>
  <si>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</si>
  <si>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</si>
  <si>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</si>
  <si>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</si>
  <si>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</si>
  <si>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</si>
  <si>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</si>
  <si>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</si>
  <si>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</si>
  <si>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</si>
  <si>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</si>
  <si>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</si>
  <si>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</si>
  <si>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</si>
  <si>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</si>
  <si>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</si>
  <si>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</si>
  <si>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</si>
  <si>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</si>
  <si>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</si>
  <si>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</si>
  <si>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</si>
  <si>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</si>
  <si>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</si>
  <si>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</si>
  <si>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</si>
  <si>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</si>
  <si>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</si>
  <si>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</si>
  <si>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</si>
  <si>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</si>
  <si>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</si>
  <si>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</si>
  <si>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</si>
  <si>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</si>
  <si>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</si>
  <si>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</si>
  <si>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</si>
  <si>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</si>
  <si>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</si>
  <si>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</si>
  <si>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</si>
  <si>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</si>
  <si>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</si>
  <si>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</si>
  <si>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</si>
  <si>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</si>
  <si>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</si>
  <si>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</si>
  <si>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</si>
  <si>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</si>
  <si>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</si>
  <si>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</si>
  <si>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</si>
  <si>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</si>
  <si>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</si>
  <si>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</si>
  <si>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</si>
  <si>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</si>
  <si>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</si>
  <si>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</si>
  <si>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</si>
  <si>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</si>
  <si>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</si>
  <si>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</si>
  <si>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</si>
  <si>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</si>
  <si>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</si>
  <si>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</si>
  <si>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</si>
  <si>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</si>
  <si>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</si>
  <si>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</si>
  <si>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</si>
  <si>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</si>
  <si>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</si>
  <si>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</si>
  <si>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</si>
  <si>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</si>
  <si>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</si>
  <si>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</si>
  <si>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</si>
  <si>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</si>
  <si>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</si>
  <si>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</si>
  <si>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</si>
  <si>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</si>
  <si>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</si>
  <si>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</si>
  <si>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</si>
  <si>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</si>
  <si>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</si>
  <si>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</si>
  <si>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</si>
  <si>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</si>
  <si>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</si>
  <si>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</si>
  <si>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</si>
  <si>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</si>
  <si>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</si>
  <si>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</si>
  <si>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</si>
  <si>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</si>
  <si>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</si>
  <si>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</si>
  <si>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</si>
  <si>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</si>
  <si>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</si>
  <si>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</si>
  <si>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</si>
  <si>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</si>
  <si>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</si>
  <si>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</si>
  <si>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</si>
  <si>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</si>
  <si>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</si>
  <si>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</si>
  <si>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</si>
  <si>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</si>
  <si>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</si>
  <si>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</si>
  <si>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</si>
  <si>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</si>
  <si>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</si>
  <si>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</si>
  <si>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</si>
  <si>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</si>
  <si>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</si>
  <si>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</si>
  <si>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</si>
  <si>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</si>
  <si>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</si>
  <si>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</si>
  <si>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</si>
  <si>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</si>
  <si>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</si>
  <si>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</si>
  <si>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</si>
  <si>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</si>
  <si>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</si>
  <si>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</si>
  <si>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</si>
  <si>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</si>
  <si>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</si>
  <si>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</si>
  <si>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</si>
  <si>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</si>
  <si>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</si>
  <si>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</si>
  <si>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</si>
  <si>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</si>
  <si>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</si>
  <si>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</si>
  <si>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</si>
  <si>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</si>
  <si>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</si>
  <si>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</si>
  <si>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</si>
  <si>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</si>
  <si>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</si>
  <si>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</si>
  <si>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</si>
  <si>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</si>
  <si>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</si>
  <si>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</si>
  <si>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</si>
  <si>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</si>
  <si>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</si>
  <si>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</si>
  <si>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</si>
  <si>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</si>
  <si>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</si>
  <si>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</si>
  <si>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</si>
  <si>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</si>
  <si>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</si>
  <si>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</si>
  <si>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</si>
  <si>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</si>
  <si>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</si>
  <si>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</si>
  <si>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</si>
  <si>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</si>
  <si>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</si>
  <si>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</si>
  <si>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</si>
  <si>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</si>
  <si>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</si>
  <si>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</si>
  <si>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</si>
  <si>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</si>
  <si>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</si>
  <si>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</si>
  <si>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</si>
  <si>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</si>
  <si>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</si>
  <si>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</si>
  <si>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</si>
  <si>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</si>
  <si>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</si>
  <si>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</si>
  <si>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</si>
  <si>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</si>
  <si>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</si>
  <si>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</si>
  <si>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</si>
  <si>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</si>
  <si>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</si>
  <si>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</si>
  <si>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</si>
  <si>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</si>
  <si>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</si>
  <si>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</si>
  <si>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</si>
  <si>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</si>
  <si>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</si>
  <si>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</si>
  <si>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</si>
  <si>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</si>
  <si>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</si>
  <si>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</si>
  <si>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</si>
  <si>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</si>
  <si>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</si>
  <si>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</si>
  <si>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</si>
  <si>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</si>
  <si>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</si>
  <si>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</si>
  <si>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</si>
  <si>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</si>
  <si>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</si>
  <si>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</si>
  <si>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</si>
  <si>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</si>
  <si>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</si>
  <si>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</si>
  <si>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</si>
  <si>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</si>
  <si>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</si>
  <si>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</si>
  <si>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</si>
  <si>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</si>
  <si>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</si>
  <si>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</si>
  <si>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</si>
  <si>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</si>
  <si>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</si>
  <si>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</si>
  <si>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</si>
  <si>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</si>
  <si>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</si>
  <si>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</si>
  <si>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</si>
  <si>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</si>
  <si>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</si>
  <si>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</si>
  <si>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</si>
  <si>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</si>
  <si>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</si>
  <si>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</si>
  <si>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</si>
  <si>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</si>
  <si>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</si>
  <si>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</si>
  <si>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</si>
  <si>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</si>
  <si>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</si>
  <si>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</si>
  <si>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</si>
  <si>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</si>
  <si>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</si>
  <si>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</si>
  <si>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</si>
  <si>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</si>
  <si>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</si>
  <si>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</si>
  <si>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</si>
  <si>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</si>
  <si>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</si>
  <si>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</si>
  <si>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</si>
  <si>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</si>
  <si>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</si>
  <si>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</si>
  <si>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</si>
  <si>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</si>
  <si>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</si>
  <si>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</si>
  <si>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</si>
  <si>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</si>
  <si>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</si>
  <si>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</si>
  <si>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</si>
  <si>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</si>
  <si>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</si>
  <si>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</si>
  <si>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</si>
  <si>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</si>
  <si>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</si>
  <si>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</si>
  <si>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</si>
  <si>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</si>
  <si>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</si>
  <si>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</si>
  <si>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</si>
  <si>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</si>
  <si>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</si>
  <si>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</si>
  <si>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</si>
  <si>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</si>
  <si>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</si>
  <si>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</si>
  <si>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</si>
  <si>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</si>
  <si>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</si>
  <si>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</si>
  <si>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</si>
  <si>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</si>
  <si>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</si>
  <si>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</si>
  <si>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</si>
  <si>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</si>
  <si>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</si>
  <si>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</si>
  <si>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</si>
  <si>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</si>
  <si>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</si>
  <si>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</si>
  <si>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</si>
  <si>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</si>
  <si>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</si>
  <si>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</si>
  <si>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</si>
  <si>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</si>
  <si>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</si>
  <si>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</si>
  <si>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</si>
  <si>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</si>
  <si>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</si>
  <si>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</si>
  <si>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</si>
  <si>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</si>
  <si>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</si>
  <si>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</si>
  <si>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</si>
  <si>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</si>
  <si>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</si>
  <si>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</si>
  <si>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</si>
  <si>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</si>
  <si>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</si>
  <si>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</si>
  <si>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</si>
  <si>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</si>
  <si>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</si>
  <si>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</si>
  <si>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</si>
  <si>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</si>
  <si>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</si>
  <si>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</si>
  <si>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</si>
  <si>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</si>
  <si>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</si>
  <si>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</si>
  <si>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</si>
  <si>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</si>
  <si>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</si>
  <si>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</si>
  <si>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</si>
  <si>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</si>
  <si>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</si>
  <si>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</si>
  <si>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</si>
  <si>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</si>
  <si>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</si>
  <si>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</si>
  <si>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</si>
  <si>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</si>
  <si>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</si>
  <si>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</si>
  <si>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</si>
  <si>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</si>
  <si>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</si>
  <si>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</si>
  <si>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</si>
  <si>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</si>
  <si>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</si>
  <si>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</si>
  <si>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</si>
  <si>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</si>
  <si>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</si>
  <si>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</si>
  <si>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</si>
  <si>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</si>
  <si>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</si>
  <si>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</si>
  <si>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</si>
  <si>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</si>
  <si>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</si>
  <si>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</si>
  <si>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</si>
  <si>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</si>
  <si>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</si>
  <si>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</si>
  <si>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</si>
  <si>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</si>
  <si>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</si>
  <si>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</si>
  <si>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</si>
  <si>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</si>
  <si>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</si>
  <si>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</si>
  <si>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</si>
  <si>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</si>
  <si>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</si>
  <si>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</si>
  <si>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</si>
  <si>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</si>
  <si>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</si>
  <si>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</si>
  <si>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</si>
  <si>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</si>
  <si>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</si>
  <si>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</si>
  <si>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</si>
  <si>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</si>
  <si>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</si>
  <si>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</si>
  <si>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</si>
  <si>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</si>
  <si>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</si>
  <si>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</si>
  <si>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</si>
  <si>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</si>
  <si>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</si>
  <si>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</si>
  <si>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</si>
  <si>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</si>
  <si>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</si>
  <si>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</si>
  <si>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</si>
  <si>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</si>
  <si>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</si>
  <si>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</si>
  <si>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</si>
  <si>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</si>
  <si>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</si>
  <si>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</si>
  <si>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</si>
  <si>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</si>
  <si>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</si>
  <si>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</si>
  <si>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</si>
  <si>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</si>
  <si>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</si>
  <si>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</si>
  <si>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</si>
  <si>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</si>
  <si>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</si>
  <si>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</si>
  <si>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</si>
  <si>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</si>
  <si>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</si>
  <si>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</si>
  <si>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</si>
  <si>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</si>
  <si>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</si>
  <si>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</si>
  <si>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</si>
  <si>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</si>
  <si>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</si>
  <si>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</si>
  <si>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</si>
  <si>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</si>
  <si>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</si>
  <si>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</si>
  <si>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</si>
  <si>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</si>
  <si>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</si>
  <si>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</si>
  <si>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</si>
  <si>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</si>
  <si>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</si>
  <si>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</si>
  <si>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</si>
  <si>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</si>
  <si>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</si>
  <si>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</si>
  <si>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</si>
  <si>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</si>
  <si>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</si>
  <si>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</si>
  <si>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</si>
  <si>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</si>
  <si>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</si>
  <si>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</si>
  <si>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</si>
  <si>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</si>
  <si>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</si>
  <si>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</si>
  <si>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</si>
  <si>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</si>
  <si>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</si>
  <si>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</si>
  <si>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</si>
  <si>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</si>
  <si>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</si>
  <si>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</si>
  <si>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</si>
  <si>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</si>
  <si>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</si>
  <si>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</si>
  <si>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</si>
  <si>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</si>
  <si>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</si>
  <si>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</si>
  <si>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</si>
  <si>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</si>
  <si>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</si>
  <si>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</si>
  <si>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</si>
  <si>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</si>
  <si>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</si>
  <si>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</si>
  <si>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</si>
  <si>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</si>
  <si>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</si>
  <si>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</si>
  <si>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</si>
  <si>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</si>
  <si>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</si>
  <si>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</si>
  <si>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</si>
  <si>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</si>
  <si>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</si>
  <si>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</si>
  <si>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</si>
  <si>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</si>
  <si>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</si>
  <si>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</si>
  <si>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</si>
  <si>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</si>
  <si>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</si>
  <si>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</si>
  <si>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</si>
  <si>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</si>
  <si>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</si>
  <si>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</si>
  <si>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</si>
  <si>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</si>
  <si>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</si>
  <si>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</si>
  <si>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</si>
  <si>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</si>
  <si>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</si>
  <si>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</si>
  <si>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</si>
  <si>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</si>
  <si>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</si>
  <si>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</si>
  <si>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</si>
  <si>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</si>
  <si>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</si>
  <si>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</si>
  <si>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</si>
  <si>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</si>
  <si>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</si>
  <si>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</si>
  <si>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</si>
  <si>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</si>
  <si>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</si>
  <si>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</si>
  <si>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</si>
  <si>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</si>
  <si>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</si>
  <si>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</si>
  <si>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</si>
  <si>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</si>
  <si>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</si>
  <si>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</si>
  <si>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</si>
  <si>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</si>
  <si>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</si>
  <si>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</si>
  <si>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</si>
  <si>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</si>
  <si>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</si>
  <si>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</si>
  <si>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</si>
  <si>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</si>
  <si>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</si>
  <si>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</si>
  <si>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</si>
  <si>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</si>
  <si>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</si>
  <si>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</si>
  <si>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</si>
  <si>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</si>
  <si>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</si>
  <si>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</si>
  <si>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</si>
  <si>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</si>
  <si>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</si>
  <si>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</si>
  <si>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</si>
  <si>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</si>
  <si>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</si>
  <si>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</si>
  <si>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</si>
  <si>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</si>
  <si>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</si>
  <si>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</si>
  <si>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</si>
  <si>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</si>
  <si>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</si>
  <si>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</si>
  <si>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</si>
  <si>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</si>
  <si>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</si>
  <si>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</si>
  <si>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</si>
  <si>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</si>
  <si>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</si>
  <si>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</si>
  <si>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</si>
  <si>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</si>
  <si>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</si>
  <si>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</si>
  <si>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</si>
  <si>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</si>
  <si>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</si>
  <si>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</si>
  <si>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</si>
  <si>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</si>
  <si>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</si>
  <si>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</si>
  <si>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</si>
  <si>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</si>
  <si>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</si>
  <si>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</si>
  <si>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</si>
  <si>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</si>
  <si>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</si>
  <si>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</si>
  <si>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</si>
  <si>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</si>
  <si>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</si>
  <si>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</si>
  <si>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</si>
  <si>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</si>
  <si>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</si>
  <si>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</si>
  <si>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</si>
  <si>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</si>
  <si>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</si>
  <si>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</si>
  <si>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</si>
  <si>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</si>
  <si>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</si>
  <si>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</si>
  <si>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</si>
  <si>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</si>
  <si>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</si>
  <si>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</si>
  <si>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</si>
  <si>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</si>
  <si>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</si>
  <si>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</si>
  <si>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</si>
  <si>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</si>
  <si>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</si>
  <si>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</si>
  <si>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</si>
  <si>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</si>
  <si>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</si>
  <si>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</si>
  <si>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</si>
  <si>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</si>
  <si>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</si>
  <si>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</si>
  <si>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</si>
  <si>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</si>
  <si>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</si>
  <si>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</si>
  <si>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</si>
  <si>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</si>
  <si>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</si>
  <si>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</si>
  <si>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</si>
  <si>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</si>
  <si>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</si>
  <si>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</si>
  <si>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</si>
  <si>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</si>
  <si>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</si>
  <si>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</si>
  <si>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</si>
  <si>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</si>
  <si>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</si>
  <si>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</si>
  <si>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</si>
  <si>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</si>
  <si>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</si>
  <si>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</si>
  <si>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</si>
  <si>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</si>
  <si>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</si>
  <si>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</si>
  <si>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</si>
  <si>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</si>
  <si>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</si>
  <si>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</si>
  <si>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</si>
  <si>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</si>
  <si>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</si>
  <si>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</si>
  <si>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</si>
  <si>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</si>
  <si>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</si>
  <si>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</si>
  <si>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</si>
  <si>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</si>
  <si>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</si>
  <si>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</si>
  <si>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</si>
  <si>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</si>
  <si>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</si>
  <si>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</si>
  <si>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</si>
  <si>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</si>
  <si>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</si>
  <si>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</si>
  <si>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</si>
  <si>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</si>
  <si>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</si>
  <si>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</si>
  <si>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</si>
  <si>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</si>
  <si>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</si>
  <si>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</si>
  <si>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</si>
  <si>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</si>
  <si>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</si>
  <si>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</si>
  <si>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</si>
  <si>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</si>
  <si>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</si>
  <si>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</si>
  <si>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</si>
  <si>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</si>
  <si>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</si>
  <si>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</si>
  <si>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</si>
  <si>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</si>
  <si>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</si>
  <si>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</si>
  <si>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</si>
  <si>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</si>
  <si>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</si>
  <si>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</si>
  <si>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</si>
  <si>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</si>
  <si>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</si>
  <si>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</si>
  <si>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</si>
  <si>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</si>
  <si>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</si>
  <si>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</si>
  <si>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</si>
  <si>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</si>
  <si>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</si>
  <si>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</si>
  <si>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</si>
  <si>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</si>
  <si>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</si>
  <si>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</si>
  <si>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</si>
  <si>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</si>
  <si>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</si>
  <si>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</si>
  <si>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</si>
  <si>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</si>
  <si>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</si>
  <si>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</si>
  <si>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</si>
  <si>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</si>
  <si>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</si>
  <si>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</si>
  <si>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</si>
  <si>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</si>
  <si>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</si>
  <si>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</si>
  <si>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</si>
  <si>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</si>
  <si>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</si>
  <si>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</si>
  <si>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</si>
  <si>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</si>
  <si>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</si>
  <si>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</si>
  <si>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</si>
  <si>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</si>
  <si>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</si>
  <si>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</si>
  <si>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</si>
  <si>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</si>
  <si>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</si>
  <si>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</si>
  <si>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</si>
  <si>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</si>
  <si>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</si>
  <si>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</si>
  <si>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</si>
  <si>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</si>
  <si>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</si>
  <si>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</si>
  <si>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</si>
  <si>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</si>
  <si>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</si>
  <si>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</si>
  <si>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</si>
  <si>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</si>
  <si>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</si>
  <si>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</si>
  <si>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</si>
  <si>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</si>
  <si>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</si>
  <si>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</si>
  <si>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</si>
  <si>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</si>
  <si>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</si>
  <si>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</si>
  <si>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</si>
  <si>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</si>
  <si>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</si>
  <si>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</si>
  <si>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</si>
  <si>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</si>
  <si>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</si>
  <si>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</si>
  <si>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</si>
  <si>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</si>
  <si>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</si>
  <si>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</si>
  <si>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</si>
  <si>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</si>
  <si>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</si>
  <si>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</si>
  <si>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</si>
  <si>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</si>
  <si>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</si>
  <si>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</si>
  <si>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</si>
  <si>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</si>
  <si>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</si>
  <si>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</si>
  <si>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</si>
  <si>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</si>
  <si>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</si>
  <si>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</si>
  <si>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</si>
  <si>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</si>
  <si>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</si>
  <si>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</si>
  <si>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</si>
  <si>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</si>
  <si>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</si>
  <si>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</si>
  <si>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</si>
  <si>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</si>
  <si>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</si>
  <si>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</si>
  <si>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</si>
  <si>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</si>
  <si>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</si>
  <si>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</si>
  <si>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</si>
  <si>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</si>
  <si>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</si>
  <si>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</si>
  <si>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</si>
  <si>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</si>
  <si>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</si>
  <si>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</si>
  <si>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</si>
  <si>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</si>
  <si>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</si>
  <si>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</si>
  <si>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</si>
  <si>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</si>
  <si>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</si>
  <si>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</si>
  <si>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</si>
  <si>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</si>
  <si>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</si>
  <si>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</si>
  <si>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</si>
  <si>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</si>
  <si>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</si>
  <si>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</si>
  <si>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</si>
  <si>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</si>
  <si>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</si>
  <si>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</si>
  <si>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</si>
  <si>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</si>
  <si>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</si>
  <si>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</si>
  <si>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</si>
  <si>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</si>
  <si>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</si>
  <si>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</si>
  <si>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</si>
  <si>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</si>
  <si>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</si>
  <si>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</si>
  <si>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</si>
  <si>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</si>
  <si>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</si>
  <si>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</si>
  <si>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</si>
  <si>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</si>
  <si>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</si>
  <si>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</si>
  <si>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</si>
  <si>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</si>
  <si>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</si>
  <si>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</si>
  <si>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</si>
  <si>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</si>
  <si>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</si>
  <si>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</si>
  <si>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</si>
  <si>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</si>
  <si>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</si>
  <si>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</si>
  <si>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</si>
  <si>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</si>
  <si>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</si>
  <si>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</si>
  <si>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</si>
  <si>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</si>
  <si>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</si>
  <si>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</si>
  <si>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</si>
  <si>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</si>
  <si>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</si>
  <si>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</si>
  <si>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</si>
  <si>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</si>
  <si>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</si>
  <si>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</si>
  <si>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</si>
  <si>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</si>
  <si>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</si>
  <si>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</si>
  <si>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</si>
  <si>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</si>
  <si>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</si>
  <si>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</si>
  <si>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</si>
  <si>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</si>
  <si>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</si>
  <si>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</si>
  <si>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</si>
  <si>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</si>
  <si>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</si>
  <si>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</si>
  <si>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</si>
  <si>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</si>
  <si>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</si>
  <si>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</si>
  <si>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</si>
  <si>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</si>
  <si>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</si>
  <si>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</si>
  <si>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</si>
  <si>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</si>
  <si>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</si>
  <si>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</si>
  <si>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</si>
  <si>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</si>
  <si>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</si>
  <si>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</si>
  <si>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</si>
  <si>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</si>
  <si>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</si>
  <si>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</si>
  <si>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</si>
  <si>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</si>
  <si>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</si>
  <si>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</si>
  <si>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</si>
  <si>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</si>
  <si>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</si>
  <si>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</si>
  <si>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</si>
  <si>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</si>
  <si>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</si>
  <si>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</si>
  <si>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</si>
  <si>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</si>
  <si>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</si>
  <si>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</si>
  <si>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</si>
  <si>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</si>
  <si>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</si>
  <si>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</si>
  <si>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</si>
  <si>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</si>
  <si>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</si>
  <si>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</si>
  <si>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</si>
  <si>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</si>
  <si>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</si>
  <si>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</si>
  <si>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</si>
  <si>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</si>
  <si>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</si>
  <si>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</si>
  <si>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</si>
  <si>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</si>
  <si>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</si>
  <si>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</si>
  <si>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</si>
  <si>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</si>
  <si>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</si>
  <si>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</si>
  <si>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</si>
  <si>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</si>
  <si>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</si>
  <si>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</si>
  <si>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</si>
  <si>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</si>
  <si>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</si>
  <si>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</si>
  <si>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</si>
  <si>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</si>
  <si>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</si>
  <si>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</si>
  <si>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</si>
  <si>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</si>
  <si>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</si>
  <si>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</si>
  <si>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</si>
  <si>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</si>
  <si>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</si>
  <si>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</si>
  <si>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</si>
  <si>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</si>
  <si>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</si>
  <si>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</si>
  <si>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</si>
  <si>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</si>
  <si>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</si>
  <si>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</si>
  <si>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</si>
  <si>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</si>
  <si>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</si>
  <si>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</si>
  <si>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</si>
  <si>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</si>
  <si>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</si>
  <si>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</si>
  <si>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</si>
  <si>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</si>
  <si>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</si>
  <si>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</si>
  <si>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</si>
  <si>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</si>
  <si>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</si>
  <si>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</si>
  <si>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</si>
  <si>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</si>
  <si>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</si>
  <si>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</si>
  <si>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</si>
  <si>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</si>
  <si>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</si>
  <si>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</si>
  <si>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</si>
  <si>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</si>
  <si>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</si>
  <si>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</si>
  <si>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</si>
  <si>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</si>
  <si>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</si>
  <si>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</si>
  <si>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</si>
  <si>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</si>
  <si>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</si>
  <si>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</si>
  <si>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</si>
  <si>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</si>
  <si>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</si>
  <si>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</si>
  <si>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</si>
  <si>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</si>
  <si>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</si>
  <si>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</si>
  <si>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</si>
  <si>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</si>
  <si>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</si>
  <si>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</si>
  <si>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</si>
  <si>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</si>
  <si>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</si>
  <si>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</si>
  <si>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</si>
  <si>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</si>
  <si>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</si>
  <si>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</si>
  <si>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</si>
  <si>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</si>
  <si>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</si>
  <si>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</si>
  <si>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</si>
  <si>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</si>
  <si>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</si>
  <si>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</si>
  <si>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</si>
  <si>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</si>
  <si>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</si>
  <si>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</si>
  <si>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</si>
  <si>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</si>
  <si>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</si>
  <si>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</si>
  <si>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</si>
  <si>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</si>
  <si>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</si>
  <si>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</si>
  <si>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</si>
  <si>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</si>
  <si>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</si>
  <si>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</si>
  <si>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</si>
  <si>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</si>
  <si>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</si>
  <si>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</si>
  <si>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</si>
  <si>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</si>
  <si>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</si>
  <si>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</si>
  <si>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</si>
  <si>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</si>
  <si>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</si>
  <si>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</si>
  <si>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</si>
  <si>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</si>
  <si>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</si>
  <si>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</si>
  <si>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</si>
  <si>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</si>
  <si>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</si>
  <si>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</si>
  <si>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</si>
  <si>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</si>
  <si>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</si>
  <si>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</si>
  <si>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</si>
  <si>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</si>
  <si>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</si>
  <si>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</si>
  <si>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</si>
  <si>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</si>
  <si>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</si>
  <si>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</si>
  <si>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</si>
  <si>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</si>
  <si>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</si>
  <si>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</si>
  <si>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</si>
  <si>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</si>
  <si>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</si>
  <si>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</si>
  <si>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</si>
  <si>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</si>
  <si>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</si>
  <si>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</si>
  <si>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</si>
  <si>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</si>
  <si>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</si>
  <si>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</si>
  <si>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</si>
  <si>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</si>
  <si>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</si>
  <si>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</si>
  <si>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</si>
  <si>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</si>
  <si>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</si>
  <si>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</si>
  <si>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</si>
  <si>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</si>
  <si>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</si>
  <si>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</si>
  <si>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</si>
  <si>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</si>
  <si>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</si>
  <si>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</si>
  <si>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</si>
  <si>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</si>
  <si>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</si>
  <si>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</si>
  <si>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</si>
  <si>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</si>
  <si>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</si>
  <si>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</si>
  <si>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</si>
  <si>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</si>
  <si>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</si>
  <si>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</si>
  <si>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</si>
  <si>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</si>
  <si>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</si>
  <si>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</si>
  <si>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</si>
  <si>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</si>
  <si>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</si>
  <si>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</si>
  <si>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</si>
  <si>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</si>
  <si>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</si>
  <si>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</si>
  <si>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</si>
  <si>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</si>
  <si>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</si>
  <si>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</si>
  <si>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</si>
  <si>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</si>
  <si>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</si>
  <si>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</si>
  <si>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</si>
  <si>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</si>
  <si>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</si>
  <si>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</si>
  <si>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</si>
  <si>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</si>
  <si>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</si>
  <si>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</si>
  <si>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</si>
  <si>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</si>
  <si>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</si>
  <si>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</si>
  <si>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</si>
  <si>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</si>
  <si>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</si>
  <si>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</si>
  <si>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</si>
  <si>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</si>
  <si>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</si>
  <si>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</si>
  <si>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</si>
  <si>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</si>
  <si>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</si>
  <si>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</si>
  <si>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</si>
  <si>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</si>
  <si>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</si>
  <si>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</si>
  <si>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</si>
  <si>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</si>
  <si>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</si>
  <si>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</si>
  <si>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</si>
  <si>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</si>
  <si>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</si>
  <si>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</si>
  <si>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</si>
  <si>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</si>
  <si>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</si>
  <si>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</si>
  <si>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</si>
  <si>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</si>
  <si>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</si>
  <si>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</si>
  <si>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</si>
  <si>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</si>
  <si>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</si>
  <si>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</si>
  <si>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</si>
  <si>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</si>
  <si>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</si>
  <si>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</si>
  <si>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</si>
  <si>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</si>
  <si>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</si>
  <si>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</si>
  <si>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</si>
  <si>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</si>
  <si>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</si>
  <si>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</si>
  <si>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</si>
  <si>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</si>
  <si>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</si>
  <si>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</si>
  <si>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</si>
  <si>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</si>
  <si>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</si>
  <si>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</si>
  <si>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</si>
  <si>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</si>
  <si>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</si>
  <si>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</si>
  <si>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</si>
  <si>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</si>
  <si>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</si>
  <si>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</si>
  <si>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</si>
  <si>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</si>
  <si>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</si>
  <si>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</si>
  <si>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</si>
  <si>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</si>
  <si>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</si>
  <si>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</si>
  <si>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</si>
  <si>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</si>
  <si>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</si>
  <si>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</si>
  <si>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</si>
  <si>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</si>
  <si>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</si>
  <si>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</si>
  <si>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</si>
  <si>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</si>
  <si>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</si>
  <si>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</si>
  <si>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</si>
  <si>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</si>
  <si>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</si>
  <si>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</si>
  <si>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</si>
  <si>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</si>
  <si>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</si>
  <si>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</si>
  <si>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</si>
  <si>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</si>
  <si>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</si>
  <si>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</si>
  <si>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</si>
  <si>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</si>
  <si>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</si>
  <si>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</si>
  <si>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</si>
  <si>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</si>
  <si>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</si>
  <si>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</si>
  <si>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</si>
  <si>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</si>
  <si>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</si>
  <si>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</si>
  <si>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</si>
  <si>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</si>
  <si>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</si>
  <si>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</si>
  <si>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</si>
  <si>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</si>
  <si>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</si>
  <si>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</si>
  <si>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</si>
  <si>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</si>
  <si>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</si>
  <si>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</si>
  <si>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</si>
  <si>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</si>
  <si>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</si>
  <si>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</si>
  <si>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</si>
  <si>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</si>
  <si>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</si>
  <si>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</si>
  <si>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</si>
  <si>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</si>
  <si>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</si>
  <si>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</si>
  <si>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</si>
  <si>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</si>
  <si>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</si>
  <si>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</si>
  <si>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</si>
  <si>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</si>
  <si>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</si>
  <si>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</si>
  <si>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</si>
  <si>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</si>
  <si>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</si>
  <si>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</si>
  <si>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</si>
  <si>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</si>
  <si>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</si>
  <si>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</si>
  <si>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</si>
  <si>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</si>
  <si>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</si>
  <si>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</si>
  <si>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</si>
  <si>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</si>
  <si>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</si>
  <si>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</si>
  <si>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</si>
  <si>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</si>
  <si>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</si>
  <si>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</si>
  <si>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</si>
  <si>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</si>
  <si>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</si>
  <si>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</si>
  <si>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</si>
  <si>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</si>
  <si>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</si>
  <si>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</si>
  <si>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</si>
  <si>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</si>
  <si>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</si>
  <si>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</si>
  <si>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</si>
  <si>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</si>
  <si>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</si>
  <si>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</si>
  <si>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</si>
  <si>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</si>
  <si>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</si>
  <si>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</si>
  <si>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</si>
  <si>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</si>
  <si>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</si>
  <si>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</si>
  <si>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</si>
  <si>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</si>
  <si>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</si>
  <si>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</si>
  <si>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</si>
  <si>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</si>
  <si>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</si>
  <si>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</si>
  <si>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</si>
  <si>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</si>
  <si>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</si>
  <si>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</si>
  <si>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</si>
  <si>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</si>
  <si>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</si>
  <si>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</si>
  <si>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</si>
  <si>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</si>
  <si>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</si>
  <si>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</si>
  <si>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</si>
  <si>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</si>
  <si>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</si>
  <si>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</si>
  <si>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</si>
  <si>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</si>
  <si>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</si>
  <si>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</si>
  <si>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</si>
  <si>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</si>
  <si>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</si>
  <si>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</si>
  <si>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</si>
  <si>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</si>
  <si>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</si>
  <si>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</si>
  <si>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</si>
  <si>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</si>
  <si>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</si>
  <si>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</si>
  <si>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</si>
  <si>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</si>
  <si>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</si>
  <si>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</si>
  <si>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</si>
  <si>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</si>
  <si>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</si>
  <si>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</si>
  <si>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</si>
  <si>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</si>
  <si>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</si>
  <si>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</si>
  <si>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</si>
  <si>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</si>
  <si>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</si>
  <si>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</si>
  <si>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</si>
  <si>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</si>
  <si>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</si>
  <si>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</si>
  <si>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</si>
  <si>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</si>
  <si>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</si>
  <si>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</si>
  <si>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</si>
  <si>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</si>
  <si>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</si>
  <si>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</si>
  <si>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</si>
  <si>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</si>
  <si>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</si>
  <si>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</si>
  <si>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</si>
  <si>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</si>
  <si>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</si>
  <si>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</si>
  <si>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</si>
  <si>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</si>
  <si>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</si>
  <si>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</si>
  <si>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</si>
  <si>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</si>
  <si>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</si>
  <si>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</si>
  <si>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</si>
  <si>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</si>
  <si>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</si>
  <si>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</si>
  <si>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</si>
  <si>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</si>
  <si>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</si>
  <si>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</si>
  <si>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</si>
  <si>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</si>
  <si>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</si>
  <si>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</si>
  <si>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</si>
  <si>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</si>
  <si>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</si>
  <si>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</si>
  <si>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</si>
  <si>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</si>
  <si>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</si>
  <si>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</si>
  <si>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</si>
  <si>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</si>
  <si>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</si>
  <si>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</si>
  <si>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</si>
  <si>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</si>
  <si>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</si>
  <si>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</si>
  <si>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</si>
  <si>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</si>
  <si>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</si>
  <si>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</si>
  <si>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</si>
  <si>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</si>
  <si>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</si>
  <si>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</si>
  <si>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</si>
  <si>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</si>
  <si>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</si>
  <si>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</si>
  <si>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</si>
  <si>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</si>
  <si>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</si>
  <si>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</si>
  <si>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</si>
  <si>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</si>
  <si>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</si>
  <si>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</si>
  <si>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</si>
  <si>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</si>
  <si>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</si>
  <si>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</si>
  <si>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</si>
  <si>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</si>
  <si>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</si>
  <si>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</si>
  <si>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</si>
  <si>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</si>
  <si>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</si>
  <si>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</si>
  <si>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</si>
  <si>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</si>
  <si>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</si>
  <si>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</si>
  <si>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</si>
  <si>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</si>
  <si>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</si>
  <si>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</si>
  <si>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</si>
  <si>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</si>
  <si>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</si>
  <si>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</si>
  <si>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</si>
  <si>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</si>
  <si>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</si>
  <si>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</si>
  <si>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</si>
  <si>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</si>
  <si>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</si>
  <si>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</si>
  <si>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</si>
  <si>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</si>
  <si>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</si>
  <si>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</si>
  <si>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</si>
  <si>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</si>
  <si>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</si>
  <si>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</si>
  <si>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</si>
  <si>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</si>
  <si>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</si>
  <si>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</si>
  <si>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</si>
  <si>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</si>
  <si>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</si>
  <si>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</si>
  <si>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</si>
  <si>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</si>
  <si>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</si>
  <si>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</si>
  <si>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</si>
  <si>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</si>
  <si>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</si>
  <si>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</si>
  <si>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</si>
  <si>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</si>
  <si>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</si>
  <si>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</si>
  <si>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</si>
  <si>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</si>
  <si>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</si>
  <si>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</si>
  <si>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</si>
  <si>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</si>
  <si>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</si>
  <si>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</si>
  <si>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</si>
  <si>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</si>
  <si>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</si>
  <si>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</si>
  <si>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</si>
  <si>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</si>
  <si>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</si>
  <si>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</si>
  <si>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</si>
  <si>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</si>
  <si>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</si>
  <si>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</si>
  <si>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</si>
  <si>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</si>
  <si>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</si>
  <si>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</si>
  <si>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</si>
  <si>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</si>
  <si>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</si>
  <si>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</si>
  <si>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</si>
  <si>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</si>
  <si>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</si>
  <si>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</si>
  <si>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</si>
  <si>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</si>
  <si>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</si>
  <si>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</si>
  <si>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</si>
  <si>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</si>
  <si>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</si>
  <si>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</si>
  <si>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</si>
  <si>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</si>
  <si>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</si>
  <si>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</si>
  <si>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</si>
  <si>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</si>
  <si>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</si>
  <si>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</si>
  <si>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</si>
  <si>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</si>
  <si>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</si>
  <si>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</si>
  <si>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</si>
  <si>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</si>
  <si>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</si>
  <si>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</si>
  <si>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</si>
  <si>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</si>
  <si>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</si>
  <si>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</si>
  <si>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</si>
  <si>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</si>
  <si>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</si>
  <si>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</si>
  <si>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</si>
  <si>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</si>
  <si>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</si>
  <si>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</si>
  <si>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</si>
  <si>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</si>
  <si>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</si>
  <si>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</si>
  <si>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</si>
  <si>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</si>
  <si>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</si>
  <si>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</si>
  <si>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</si>
  <si>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</si>
  <si>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</si>
  <si>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</si>
  <si>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</si>
  <si>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</si>
  <si>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</si>
  <si>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</si>
  <si>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</si>
  <si>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</si>
  <si>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</si>
  <si>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</si>
  <si>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</si>
  <si>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</si>
  <si>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</si>
  <si>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</si>
  <si>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</si>
  <si>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</si>
  <si>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</si>
  <si>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</si>
  <si>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</si>
  <si>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</si>
  <si>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</si>
  <si>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</si>
  <si>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</si>
  <si>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</si>
  <si>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</si>
  <si>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</si>
  <si>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</si>
  <si>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</si>
  <si>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</si>
  <si>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</si>
  <si>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</si>
  <si>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</si>
  <si>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</si>
  <si>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</si>
  <si>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</si>
  <si>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</si>
  <si>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</si>
  <si>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</si>
  <si>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</si>
  <si>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</si>
  <si>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</si>
  <si>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</si>
  <si>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</si>
  <si>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</si>
  <si>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</si>
  <si>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</si>
  <si>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</si>
  <si>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</si>
  <si>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</si>
  <si>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</si>
  <si>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</si>
  <si>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</si>
  <si>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</si>
  <si>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</si>
  <si>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</si>
  <si>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</si>
  <si>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</si>
  <si>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</si>
  <si>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</si>
  <si>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</si>
  <si>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</si>
  <si>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</si>
  <si>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</si>
  <si>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</si>
  <si>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</si>
  <si>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</si>
  <si>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</si>
  <si>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</si>
  <si>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</si>
  <si>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</si>
  <si>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</si>
  <si>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</si>
  <si>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</si>
  <si>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</si>
  <si>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</si>
  <si>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</si>
  <si>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</si>
  <si>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</si>
  <si>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</si>
  <si>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</si>
  <si>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</si>
  <si>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</si>
  <si>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</si>
  <si>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</si>
  <si>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</si>
  <si>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</si>
  <si>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</si>
  <si>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</si>
  <si>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</si>
  <si>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</si>
  <si>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</si>
  <si>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</si>
  <si>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</si>
  <si>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</si>
  <si>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</si>
  <si>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</si>
  <si>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</si>
  <si>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</si>
  <si>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</si>
  <si>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</si>
  <si>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</si>
  <si>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</si>
  <si>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</si>
  <si>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</si>
  <si>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</si>
  <si>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</si>
  <si>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</si>
  <si>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</si>
  <si>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</si>
  <si>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</si>
  <si>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</si>
  <si>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</si>
  <si>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</si>
  <si>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</si>
  <si>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</si>
  <si>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</si>
  <si>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</si>
  <si>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</si>
  <si>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</si>
  <si>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</si>
  <si>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</si>
  <si>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</si>
  <si>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</si>
  <si>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</si>
  <si>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</si>
  <si>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</si>
  <si>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</si>
  <si>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</si>
  <si>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</si>
  <si>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</si>
  <si>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</si>
  <si>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</si>
  <si>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</si>
  <si>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</si>
  <si>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</si>
  <si>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</si>
  <si>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</si>
  <si>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</si>
  <si>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</si>
  <si>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</si>
  <si>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</si>
  <si>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</si>
  <si>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</si>
  <si>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</si>
  <si>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</si>
  <si>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</si>
  <si>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</si>
  <si>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</si>
  <si>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</si>
  <si>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</si>
  <si>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</si>
  <si>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</si>
  <si>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</si>
  <si>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</si>
  <si>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</si>
  <si>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</si>
  <si>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</si>
  <si>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</si>
  <si>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</si>
  <si>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</si>
  <si>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</si>
  <si>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</si>
  <si>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</si>
  <si>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</si>
  <si>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</si>
  <si>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</si>
  <si>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</si>
  <si>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</si>
  <si>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</si>
  <si>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</si>
  <si>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</si>
  <si>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</si>
  <si>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</si>
  <si>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</si>
  <si>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</si>
  <si>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</si>
  <si>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</si>
  <si>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</si>
  <si>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</si>
  <si>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</si>
  <si>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</si>
  <si>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</si>
  <si>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</si>
  <si>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</si>
  <si>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</si>
  <si>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</si>
  <si>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</si>
  <si>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</si>
  <si>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</si>
  <si>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</si>
  <si>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</si>
  <si>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</si>
  <si>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</si>
  <si>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</si>
  <si>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</si>
  <si>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</si>
  <si>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</si>
  <si>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</si>
  <si>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</si>
  <si>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</si>
  <si>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</si>
  <si>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</si>
  <si>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</si>
  <si>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</si>
  <si>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</si>
  <si>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</si>
  <si>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</si>
  <si>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</si>
  <si>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</si>
  <si>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</si>
  <si>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</si>
  <si>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</si>
  <si>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</si>
  <si>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</si>
  <si>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</si>
  <si>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</si>
  <si>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</si>
  <si>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</si>
  <si>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</si>
  <si>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</si>
  <si>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</si>
  <si>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</si>
  <si>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</si>
  <si>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</si>
  <si>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</si>
  <si>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</si>
  <si>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</si>
  <si>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</si>
  <si>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</si>
  <si>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</si>
  <si>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</si>
  <si>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</si>
  <si>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</si>
  <si>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</si>
  <si>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</si>
  <si>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</si>
  <si>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</si>
  <si>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</si>
  <si>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</si>
  <si>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</si>
  <si>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</si>
  <si>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</si>
  <si>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</si>
  <si>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</si>
  <si>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</si>
  <si>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</si>
  <si>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</si>
  <si>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</si>
  <si>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</si>
  <si>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</si>
  <si>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</si>
  <si>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</si>
  <si>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</si>
  <si>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</si>
  <si>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</si>
  <si>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</si>
  <si>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</si>
  <si>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</si>
  <si>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</si>
  <si>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</si>
  <si>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</si>
  <si>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</si>
  <si>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</si>
  <si>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</si>
  <si>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</si>
  <si>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</si>
  <si>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</si>
  <si>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</si>
  <si>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</si>
  <si>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</si>
  <si>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</si>
  <si>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</si>
  <si>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</si>
  <si>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</si>
  <si>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</si>
  <si>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</si>
  <si>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</si>
  <si>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</si>
  <si>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</si>
  <si>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</si>
  <si>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</si>
  <si>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</si>
  <si>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</si>
  <si>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</si>
  <si>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</si>
  <si>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</si>
  <si>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</si>
  <si>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</si>
  <si>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</si>
  <si>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</si>
  <si>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</si>
  <si>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</si>
  <si>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</si>
  <si>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</si>
  <si>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</si>
  <si>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</si>
  <si>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</si>
  <si>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</si>
  <si>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</si>
  <si>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</si>
  <si>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</si>
  <si>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</si>
  <si>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</si>
  <si>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</si>
  <si>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</si>
  <si>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</si>
  <si>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</si>
  <si>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</si>
  <si>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</si>
  <si>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</si>
  <si>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</si>
  <si>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</si>
  <si>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</si>
  <si>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</si>
  <si>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</si>
  <si>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</si>
  <si>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</si>
  <si>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</si>
  <si>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</si>
  <si>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</si>
  <si>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</si>
  <si>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</si>
  <si>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</si>
  <si>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</si>
  <si>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</si>
  <si>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</si>
  <si>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</si>
  <si>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</si>
  <si>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</si>
  <si>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</si>
  <si>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</si>
  <si>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</si>
  <si>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</si>
  <si>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</si>
  <si>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</si>
  <si>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</si>
  <si>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</si>
  <si>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</si>
  <si>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</si>
  <si>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</si>
  <si>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</si>
  <si>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</si>
  <si>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</si>
  <si>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</si>
  <si>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</si>
  <si>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</si>
  <si>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</si>
  <si>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</si>
  <si>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</si>
  <si>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</si>
  <si>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</si>
  <si>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</si>
  <si>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</si>
  <si>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</si>
  <si>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</si>
  <si>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</si>
  <si>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</si>
  <si>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</si>
  <si>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</si>
  <si>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</si>
  <si>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</si>
  <si>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</si>
  <si>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</si>
  <si>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</si>
  <si>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</si>
  <si>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</si>
  <si>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</si>
  <si>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</si>
  <si>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</si>
  <si>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</si>
  <si>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</si>
  <si>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</si>
  <si>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</si>
  <si>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</si>
  <si>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</si>
  <si>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</si>
  <si>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</si>
  <si>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</si>
  <si>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</si>
  <si>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</si>
  <si>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</si>
  <si>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</si>
  <si>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</si>
  <si>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</si>
  <si>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</si>
  <si>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</si>
  <si>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</si>
  <si>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</si>
  <si>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</si>
  <si>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</si>
  <si>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</si>
  <si>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</si>
  <si>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</si>
  <si>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</si>
  <si>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</si>
  <si>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</si>
  <si>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</si>
  <si>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</si>
  <si>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</si>
  <si>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</si>
  <si>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</si>
  <si>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</si>
  <si>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</si>
  <si>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</si>
  <si>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</si>
  <si>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</si>
  <si>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</si>
  <si>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</si>
  <si>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</si>
  <si>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</si>
  <si>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</si>
  <si>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</si>
  <si>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</si>
  <si>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</si>
  <si>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</si>
  <si>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</si>
  <si>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</si>
  <si>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</si>
  <si>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</si>
  <si>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</si>
  <si>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</si>
  <si>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</si>
  <si>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</si>
  <si>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</si>
  <si>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</si>
  <si>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</si>
  <si>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</si>
  <si>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</si>
  <si>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</si>
  <si>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</si>
  <si>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</si>
  <si>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</si>
  <si>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</si>
  <si>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</si>
  <si>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</si>
  <si>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</si>
  <si>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</si>
  <si>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</si>
  <si>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</si>
  <si>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</si>
  <si>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</si>
  <si>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</si>
  <si>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</si>
  <si>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</si>
  <si>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</si>
  <si>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</si>
  <si>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</si>
  <si>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</si>
  <si>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</si>
  <si>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</si>
  <si>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</si>
  <si>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</si>
  <si>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</si>
  <si>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</si>
  <si>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</si>
  <si>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</si>
  <si>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</si>
  <si>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</si>
  <si>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</si>
  <si>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</si>
  <si>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</si>
  <si>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</si>
  <si>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</si>
  <si>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</si>
  <si>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</si>
  <si>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</si>
  <si>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</si>
  <si>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</si>
  <si>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</si>
  <si>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</si>
  <si>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</si>
  <si>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</si>
  <si>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</si>
  <si>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</si>
  <si>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</si>
  <si>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</si>
  <si>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</si>
  <si>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</si>
  <si>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</si>
  <si>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</si>
  <si>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</si>
  <si>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</si>
  <si>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</si>
  <si>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</si>
  <si>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</si>
  <si>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</si>
  <si>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</si>
  <si>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</si>
  <si>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</si>
  <si>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</si>
  <si>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</si>
  <si>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</si>
  <si>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</si>
  <si>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</si>
  <si>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</si>
  <si>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</si>
  <si>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</si>
  <si>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</si>
  <si>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</si>
  <si>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</si>
  <si>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</si>
  <si>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</si>
  <si>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</si>
  <si>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</si>
  <si>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</si>
  <si>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</si>
  <si>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</si>
  <si>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</si>
  <si>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</si>
  <si>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</si>
  <si>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</si>
  <si>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</si>
  <si>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</si>
  <si>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</si>
  <si>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</si>
  <si>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</si>
  <si>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</si>
  <si>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</si>
  <si>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</si>
  <si>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</si>
  <si>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</si>
  <si>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</si>
  <si>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</si>
  <si>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</si>
  <si>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</si>
  <si>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</si>
  <si>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</si>
  <si>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</si>
  <si>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</si>
  <si>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</si>
  <si>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</si>
  <si>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</si>
  <si>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</si>
  <si>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</si>
  <si>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</si>
  <si>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</si>
  <si>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</si>
  <si>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</si>
  <si>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</si>
  <si>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</si>
  <si>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</si>
  <si>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</si>
  <si>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</si>
  <si>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</si>
  <si>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</si>
  <si>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</si>
  <si>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</si>
  <si>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</si>
  <si>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</si>
  <si>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</si>
  <si>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</si>
  <si>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</si>
  <si>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</si>
  <si>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</si>
  <si>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</si>
  <si>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</si>
  <si>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</si>
  <si>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</si>
  <si>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</si>
  <si>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</si>
  <si>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</si>
  <si>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</si>
  <si>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</si>
  <si>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</si>
  <si>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</si>
  <si>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</si>
  <si>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</si>
  <si>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</si>
  <si>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</si>
  <si>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</si>
  <si>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</si>
  <si>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</si>
  <si>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</si>
  <si>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</si>
  <si>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</si>
  <si>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</si>
  <si>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</si>
  <si>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</si>
  <si>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</si>
  <si>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</si>
  <si>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</si>
  <si>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</si>
  <si>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</si>
  <si>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</si>
  <si>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</si>
  <si>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</si>
  <si>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</si>
  <si>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</si>
  <si>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</si>
  <si>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</si>
  <si>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</si>
  <si>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</si>
  <si>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</si>
  <si>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</si>
  <si>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</si>
  <si>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</si>
  <si>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</si>
  <si>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</si>
  <si>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</si>
  <si>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</si>
  <si>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</si>
  <si>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</si>
  <si>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</si>
  <si>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</si>
  <si>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</si>
  <si>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</si>
  <si>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</si>
  <si>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</si>
  <si>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</si>
  <si>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</si>
  <si>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</si>
  <si>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</si>
  <si>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</si>
  <si>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</si>
  <si>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</si>
  <si>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</si>
  <si>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</si>
  <si>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</si>
  <si>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</si>
  <si>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</si>
  <si>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</si>
  <si>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</si>
  <si>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</si>
  <si>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</si>
  <si>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</si>
  <si>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</si>
  <si>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</si>
  <si>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</si>
  <si>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</si>
  <si>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</si>
  <si>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</si>
  <si>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</si>
  <si>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</si>
  <si>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</si>
  <si>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</si>
  <si>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</si>
  <si>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</si>
  <si>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</si>
  <si>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</si>
  <si>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</si>
  <si>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</si>
  <si>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</si>
  <si>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</si>
  <si>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</si>
  <si>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</si>
  <si>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</si>
  <si>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</si>
  <si>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</si>
  <si>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</si>
  <si>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</si>
  <si>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</si>
  <si>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</si>
  <si>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</si>
  <si>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</si>
  <si>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</si>
  <si>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</si>
  <si>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</si>
  <si>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</si>
  <si>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</si>
  <si>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</si>
  <si>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</si>
  <si>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</si>
  <si>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</si>
  <si>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</si>
  <si>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</si>
  <si>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</si>
  <si>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</si>
  <si>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</si>
  <si>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</si>
  <si>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</si>
  <si>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</si>
  <si>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</si>
  <si>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</si>
  <si>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</si>
  <si>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</si>
  <si>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</si>
  <si>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</si>
  <si>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</si>
  <si>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</si>
  <si>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</si>
  <si>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</si>
  <si>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</si>
  <si>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</si>
  <si>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</si>
  <si>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</si>
  <si>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</si>
  <si>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</si>
  <si>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</si>
  <si>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</si>
  <si>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</si>
  <si>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</si>
  <si>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</si>
  <si>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</si>
  <si>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</si>
  <si>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</si>
  <si>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</si>
  <si>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</si>
  <si>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</si>
  <si>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</si>
  <si>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</si>
  <si>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</si>
  <si>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</si>
  <si>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</si>
  <si>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</si>
  <si>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</si>
  <si>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</si>
  <si>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</si>
  <si>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</si>
  <si>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</si>
  <si>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</si>
  <si>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</si>
  <si>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</si>
  <si>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</si>
  <si>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</si>
  <si>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</si>
  <si>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</si>
  <si>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</si>
  <si>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</si>
  <si>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</si>
  <si>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</si>
  <si>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</si>
  <si>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</si>
  <si>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</si>
  <si>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</si>
  <si>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</si>
  <si>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</si>
  <si>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</si>
  <si>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</si>
  <si>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</si>
  <si>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</si>
  <si>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</si>
  <si>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</si>
  <si>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</si>
  <si>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</si>
  <si>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</si>
  <si>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</si>
  <si>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</si>
  <si>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</si>
  <si>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</si>
  <si>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</si>
  <si>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</si>
  <si>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</si>
  <si>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</si>
  <si>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</si>
  <si>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</si>
  <si>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</si>
  <si>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</si>
  <si>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</si>
  <si>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</si>
  <si>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</si>
  <si>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</si>
  <si>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</si>
  <si>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</si>
  <si>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</si>
  <si>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</si>
  <si>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</si>
  <si>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</si>
  <si>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</si>
  <si>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</si>
  <si>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</si>
  <si>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</si>
  <si>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</si>
  <si>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</si>
  <si>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</si>
  <si>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</si>
  <si>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</si>
  <si>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</si>
  <si>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</si>
  <si>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</si>
  <si>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</si>
  <si>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</si>
  <si>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</si>
  <si>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</si>
  <si>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</si>
  <si>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</si>
  <si>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</si>
  <si>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</si>
  <si>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</si>
  <si>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</si>
  <si>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</si>
  <si>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</si>
  <si>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</si>
  <si>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</si>
  <si>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</si>
  <si>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</si>
  <si>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</si>
  <si>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</si>
  <si>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</si>
  <si>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</si>
  <si>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</si>
  <si>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</si>
  <si>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</si>
  <si>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</si>
  <si>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</si>
  <si>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</si>
  <si>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</si>
  <si>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</si>
  <si>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</si>
  <si>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</si>
  <si>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</si>
  <si>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</si>
  <si>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</si>
  <si>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</si>
  <si>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</si>
  <si>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</si>
  <si>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</si>
  <si>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</si>
  <si>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</si>
  <si>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</si>
  <si>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</si>
  <si>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</si>
  <si>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</si>
  <si>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</si>
  <si>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</si>
  <si>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</si>
  <si>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</si>
  <si>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</si>
  <si>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</si>
  <si>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</si>
  <si>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</si>
  <si>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</si>
  <si>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</si>
  <si>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</si>
  <si>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</si>
  <si>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</si>
  <si>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</si>
  <si>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</si>
  <si>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</si>
  <si>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</si>
  <si>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</si>
  <si>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</si>
  <si>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</si>
  <si>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</si>
  <si>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</si>
  <si>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</si>
  <si>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</si>
  <si>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</si>
  <si>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</si>
  <si>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</si>
  <si>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</si>
  <si>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</si>
  <si>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</si>
  <si>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</si>
  <si>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</si>
  <si>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</si>
  <si>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</si>
  <si>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</si>
  <si>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</si>
  <si>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</si>
  <si>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</si>
  <si>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</si>
  <si>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</si>
  <si>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</si>
  <si>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</si>
  <si>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</si>
  <si>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</si>
  <si>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</si>
  <si>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</si>
  <si>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</si>
  <si>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</si>
  <si>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</si>
  <si>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</si>
  <si>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</si>
  <si>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</si>
  <si>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</si>
  <si>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</si>
  <si>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</si>
  <si>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</si>
  <si>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</si>
  <si>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</si>
  <si>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</si>
  <si>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</si>
  <si>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</si>
  <si>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</si>
  <si>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</si>
  <si>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</si>
  <si>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</si>
  <si>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</si>
  <si>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</si>
  <si>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</si>
  <si>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</si>
  <si>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</si>
  <si>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</si>
  <si>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</si>
  <si>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</si>
  <si>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</si>
  <si>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</si>
  <si>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</si>
  <si>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</si>
  <si>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</si>
  <si>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</si>
  <si>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</si>
  <si>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</si>
  <si>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</si>
  <si>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</si>
  <si>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</si>
  <si>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</si>
  <si>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</si>
  <si>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</si>
  <si>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</si>
  <si>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</si>
  <si>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</si>
  <si>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</si>
  <si>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</si>
  <si>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</si>
  <si>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</si>
  <si>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</si>
  <si>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</si>
  <si>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</si>
  <si>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</si>
  <si>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</si>
  <si>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</si>
  <si>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</si>
  <si>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</si>
  <si>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</si>
  <si>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</si>
  <si>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</si>
  <si>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</si>
  <si>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</si>
  <si>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</si>
  <si>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</si>
  <si>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</si>
  <si>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</si>
  <si>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</si>
  <si>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</si>
  <si>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</si>
  <si>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</si>
  <si>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</si>
  <si>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</si>
  <si>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</si>
  <si>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</si>
  <si>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</si>
  <si>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</si>
  <si>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</si>
  <si>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</si>
  <si>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</si>
  <si>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</si>
  <si>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</si>
  <si>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</si>
  <si>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</si>
  <si>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</si>
  <si>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</si>
  <si>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</si>
  <si>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</si>
  <si>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</si>
  <si>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</si>
  <si>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</si>
  <si>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</si>
  <si>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</si>
  <si>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</si>
  <si>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</si>
  <si>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</si>
  <si>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</si>
  <si>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</si>
  <si>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</si>
  <si>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</si>
  <si>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</si>
  <si>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</si>
  <si>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</si>
  <si>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</si>
  <si>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</si>
  <si>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</si>
  <si>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</si>
  <si>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</si>
  <si>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</si>
  <si>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</si>
  <si>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</si>
  <si>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</si>
  <si>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</si>
  <si>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</si>
  <si>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</si>
  <si>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</si>
  <si>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</si>
  <si>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</si>
  <si>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</si>
  <si>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</si>
  <si>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</si>
  <si>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</si>
  <si>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</si>
  <si>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</si>
  <si>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</si>
  <si>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</si>
  <si>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</si>
  <si>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</si>
  <si>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</si>
  <si>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</si>
  <si>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</si>
  <si>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</si>
  <si>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</si>
  <si>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</si>
  <si>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</si>
  <si>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</si>
  <si>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</si>
  <si>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</si>
  <si>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</si>
  <si>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</si>
  <si>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</si>
  <si>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</si>
  <si>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</si>
  <si>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</si>
  <si>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</si>
  <si>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</si>
  <si>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</si>
  <si>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</si>
  <si>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</si>
  <si>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</si>
  <si>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</si>
  <si>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</si>
  <si>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</si>
  <si>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</si>
  <si>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</si>
  <si>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</si>
  <si>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</si>
  <si>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</si>
  <si>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</si>
  <si>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</si>
  <si>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</si>
  <si>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</si>
  <si>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</si>
  <si>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</si>
  <si>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</si>
  <si>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</si>
  <si>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</si>
  <si>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</si>
  <si>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</si>
  <si>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</si>
  <si>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</si>
  <si>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</si>
  <si>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</si>
  <si>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</si>
  <si>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</si>
  <si>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</si>
  <si>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</si>
  <si>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</si>
  <si>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</si>
  <si>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</si>
  <si>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</si>
  <si>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</si>
  <si>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</si>
  <si>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</si>
  <si>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</si>
  <si>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</si>
  <si>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</si>
  <si>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</si>
  <si>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</si>
  <si>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</si>
  <si>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</si>
  <si>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</si>
  <si>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</si>
  <si>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</si>
  <si>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</si>
  <si>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</si>
  <si>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</si>
  <si>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</si>
  <si>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</si>
  <si>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</si>
  <si>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</si>
  <si>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</si>
  <si>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</si>
  <si>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</si>
  <si>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</si>
  <si>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</si>
  <si>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</si>
  <si>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</si>
  <si>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</si>
  <si>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</si>
  <si>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</si>
  <si>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</si>
  <si>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</si>
  <si>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</si>
  <si>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</si>
  <si>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</si>
  <si>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</si>
  <si>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</si>
  <si>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</si>
  <si>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</si>
  <si>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</si>
  <si>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</si>
  <si>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</si>
  <si>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</si>
  <si>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</si>
  <si>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</si>
  <si>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</si>
  <si>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</si>
  <si>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</si>
  <si>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</si>
  <si>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</si>
  <si>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</si>
  <si>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</si>
  <si>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</si>
  <si>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</si>
  <si>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</si>
  <si>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</si>
  <si>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</si>
  <si>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</si>
  <si>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</si>
  <si>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</si>
  <si>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</si>
  <si>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</si>
  <si>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</si>
  <si>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</si>
  <si>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</si>
  <si>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</si>
  <si>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</si>
  <si>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</si>
  <si>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</si>
  <si>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</si>
  <si>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</si>
  <si>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</si>
  <si>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</si>
  <si>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</si>
  <si>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</si>
  <si>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</si>
  <si>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</si>
  <si>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</si>
  <si>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</si>
  <si>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</si>
  <si>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</si>
  <si>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</si>
  <si>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</si>
  <si>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</si>
  <si>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</si>
  <si>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</si>
  <si>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</si>
  <si>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</si>
  <si>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</si>
  <si>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</si>
  <si>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</si>
  <si>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</si>
  <si>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</si>
  <si>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</si>
  <si>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</si>
  <si>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</si>
  <si>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</si>
  <si>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</si>
  <si>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</si>
  <si>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</si>
  <si>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</si>
  <si>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</si>
  <si>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</si>
  <si>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</si>
  <si>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</si>
  <si>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</si>
  <si>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</si>
  <si>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</si>
  <si>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</si>
  <si>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</si>
  <si>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</si>
  <si>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</si>
  <si>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</si>
  <si>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</si>
  <si>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</si>
  <si>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</si>
  <si>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</si>
  <si>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</si>
  <si>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</si>
  <si>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</si>
  <si>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</si>
  <si>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</si>
  <si>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</si>
  <si>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</si>
  <si>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</si>
  <si>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</si>
  <si>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</si>
  <si>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</si>
  <si>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</si>
  <si>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</si>
  <si>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</si>
  <si>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</si>
  <si>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</si>
  <si>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</si>
  <si>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</si>
  <si>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</si>
  <si>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</si>
  <si>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</si>
  <si>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</si>
  <si>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</si>
  <si>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</si>
  <si>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</si>
  <si>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</si>
  <si>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</si>
  <si>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</si>
  <si>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</si>
  <si>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</si>
  <si>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</si>
  <si>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</si>
  <si>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</si>
  <si>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</si>
  <si>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</si>
  <si>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</si>
  <si>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</si>
  <si>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</si>
  <si>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</si>
  <si>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</si>
  <si>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</si>
  <si>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</si>
  <si>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</si>
  <si>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</si>
  <si>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</si>
  <si>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</si>
  <si>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</si>
  <si>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</si>
  <si>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</si>
  <si>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</si>
  <si>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</si>
  <si>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</si>
  <si>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</si>
  <si>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</si>
  <si>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</si>
  <si>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</si>
  <si>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</si>
  <si>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</si>
  <si>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</si>
  <si>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</si>
  <si>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</si>
  <si>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</si>
  <si>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</si>
  <si>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</si>
  <si>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</si>
  <si>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</si>
  <si>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</si>
  <si>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</si>
  <si>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</si>
  <si>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</si>
  <si>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</si>
  <si>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</si>
  <si>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</si>
  <si>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</si>
  <si>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</si>
  <si>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</si>
  <si>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</si>
  <si>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</si>
  <si>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</si>
  <si>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</si>
  <si>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</si>
  <si>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</si>
  <si>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</si>
  <si>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</si>
  <si>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</si>
  <si>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</si>
  <si>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</si>
  <si>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</si>
  <si>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</si>
  <si>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</si>
  <si>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</si>
  <si>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</si>
  <si>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</si>
  <si>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</si>
  <si>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</si>
  <si>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</si>
  <si>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</si>
  <si>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</si>
  <si>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</si>
  <si>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</si>
  <si>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</si>
  <si>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</si>
  <si>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</si>
  <si>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</si>
  <si>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</si>
  <si>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</si>
  <si>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</si>
  <si>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</si>
  <si>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</si>
  <si>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</si>
  <si>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</si>
  <si>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</si>
  <si>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</si>
  <si>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</si>
  <si>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</si>
  <si>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</si>
  <si>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</si>
  <si>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</si>
  <si>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</si>
  <si>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</si>
  <si>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</si>
  <si>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</si>
  <si>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</si>
  <si>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</si>
  <si>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</si>
  <si>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</si>
  <si>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</si>
  <si>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</si>
  <si>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</si>
  <si>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</si>
  <si>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</si>
  <si>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</si>
  <si>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</si>
  <si>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</si>
  <si>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</si>
  <si>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</si>
  <si>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</si>
  <si>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</si>
  <si>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</si>
  <si>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</si>
  <si>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</si>
  <si>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</si>
  <si>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</si>
  <si>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</si>
  <si>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</si>
  <si>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</si>
  <si>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</si>
  <si>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</si>
  <si>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</si>
  <si>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</si>
  <si>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</si>
  <si>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</si>
  <si>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</si>
  <si>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</si>
  <si>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</si>
  <si>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</si>
  <si>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</si>
  <si>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</si>
  <si>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</si>
  <si>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</si>
  <si>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</si>
  <si>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</si>
  <si>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</si>
  <si>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</si>
  <si>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</si>
  <si>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</si>
  <si>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</si>
  <si>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</si>
  <si>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</si>
  <si>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</si>
  <si>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</si>
  <si>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</si>
  <si>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</si>
  <si>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</si>
  <si>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</si>
  <si>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</si>
  <si>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</si>
  <si>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</si>
  <si>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</si>
  <si>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</si>
  <si>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</si>
  <si>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</si>
  <si>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</si>
  <si>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</si>
  <si>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</si>
  <si>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</si>
  <si>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</si>
  <si>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</si>
  <si>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</si>
  <si>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</si>
  <si>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</si>
  <si>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</si>
  <si>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</si>
  <si>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</si>
  <si>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</si>
  <si>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</si>
  <si>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</si>
  <si>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</si>
  <si>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</si>
  <si>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</si>
  <si>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</si>
  <si>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</si>
  <si>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</si>
  <si>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</si>
  <si>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</si>
  <si>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</si>
  <si>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</si>
  <si>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</si>
  <si>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</si>
  <si>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</si>
  <si>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</si>
  <si>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</si>
  <si>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</si>
  <si>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</si>
  <si>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</si>
  <si>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</si>
  <si>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</si>
  <si>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</si>
  <si>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</si>
  <si>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</si>
  <si>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</si>
  <si>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</si>
  <si>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</si>
  <si>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</si>
  <si>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</si>
  <si>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</si>
  <si>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</si>
  <si>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</si>
  <si>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</si>
  <si>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</si>
  <si>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</si>
  <si>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</si>
  <si>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</si>
  <si>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</si>
  <si>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</si>
  <si>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</si>
  <si>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</si>
  <si>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</si>
  <si>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</si>
  <si>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</si>
  <si>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</si>
  <si>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</si>
  <si>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</si>
  <si>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</si>
  <si>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</si>
  <si>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</si>
  <si>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</si>
  <si>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</si>
  <si>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</si>
  <si>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</si>
  <si>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</si>
  <si>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</si>
  <si>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</si>
  <si>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</si>
  <si>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</si>
  <si>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</si>
  <si>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</si>
  <si>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</si>
  <si>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</si>
  <si>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</si>
  <si>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</si>
  <si>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</si>
  <si>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</si>
  <si>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</si>
  <si>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</si>
  <si>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</si>
  <si>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</si>
  <si>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</si>
  <si>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</si>
  <si>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</si>
  <si>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</si>
  <si>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</si>
  <si>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</si>
  <si>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</si>
  <si>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</si>
  <si>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</si>
  <si>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</si>
  <si>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</si>
  <si>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</si>
  <si>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</si>
  <si>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</si>
  <si>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</si>
  <si>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</si>
  <si>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</si>
  <si>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</si>
  <si>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</si>
  <si>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</si>
  <si>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</si>
  <si>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</si>
  <si>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</si>
  <si>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</si>
  <si>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</si>
  <si>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</si>
  <si>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</si>
  <si>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</si>
  <si>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</si>
  <si>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</si>
  <si>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</si>
  <si>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</si>
  <si>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</si>
  <si>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</si>
  <si>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</si>
  <si>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</si>
  <si>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</si>
  <si>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</si>
  <si>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</si>
  <si>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</si>
  <si>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</si>
  <si>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</si>
  <si>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</si>
  <si>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</si>
  <si>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</si>
  <si>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</si>
  <si>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</si>
  <si>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</si>
  <si>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</si>
  <si>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</si>
  <si>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</si>
  <si>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</si>
  <si>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</si>
  <si>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</si>
  <si>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</si>
  <si>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</si>
  <si>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</si>
  <si>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</si>
  <si>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</si>
  <si>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</si>
  <si>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</si>
  <si>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</si>
  <si>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</si>
  <si>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</si>
  <si>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</si>
  <si>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</si>
  <si>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</si>
  <si>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</si>
  <si>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</si>
  <si>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</si>
  <si>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</si>
  <si>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</si>
  <si>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</si>
  <si>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</si>
  <si>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</si>
  <si>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</si>
  <si>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</si>
  <si>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</si>
  <si>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</si>
  <si>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</si>
  <si>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</si>
  <si>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</si>
  <si>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</si>
  <si>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</si>
  <si>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</si>
  <si>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</si>
  <si>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</si>
  <si>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</si>
  <si>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</si>
  <si>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</si>
  <si>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</si>
  <si>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</si>
  <si>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</si>
  <si>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</si>
  <si>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</si>
  <si>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</si>
  <si>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</si>
  <si>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</si>
  <si>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</si>
  <si>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</si>
  <si>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</si>
  <si>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</si>
  <si>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</si>
  <si>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</si>
  <si>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</si>
  <si>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</si>
  <si>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</si>
  <si>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</si>
  <si>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</si>
  <si>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</si>
  <si>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</si>
  <si>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</si>
  <si>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</si>
  <si>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</si>
  <si>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</si>
  <si>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</si>
  <si>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</si>
  <si>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</si>
  <si>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</si>
  <si>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</si>
  <si>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</si>
  <si>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</si>
  <si>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</si>
  <si>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</si>
  <si>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</si>
  <si>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</si>
  <si>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</si>
  <si>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</si>
  <si>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</si>
  <si>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</si>
  <si>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</si>
  <si>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</si>
  <si>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</si>
  <si>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</si>
  <si>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</si>
  <si>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</si>
  <si>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</si>
  <si>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</si>
  <si>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</si>
  <si>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</si>
  <si>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</si>
  <si>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</si>
  <si>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</si>
  <si>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</si>
  <si>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</si>
  <si>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</si>
  <si>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</si>
  <si>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</si>
  <si>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</si>
  <si>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</si>
  <si>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</si>
  <si>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</si>
  <si>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</si>
  <si>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</si>
  <si>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</si>
  <si>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</si>
  <si>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</si>
  <si>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</si>
  <si>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</si>
  <si>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</si>
  <si>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</si>
  <si>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</si>
  <si>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</si>
  <si>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</si>
  <si>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</si>
  <si>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</si>
  <si>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</si>
  <si>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</si>
  <si>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</si>
  <si>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</si>
  <si>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</si>
  <si>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</si>
  <si>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</si>
  <si>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</si>
  <si>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</si>
  <si>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</si>
  <si>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</si>
  <si>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</si>
  <si>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</si>
  <si>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</si>
  <si>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</si>
  <si>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</si>
  <si>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</si>
  <si>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</si>
  <si>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</si>
  <si>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</si>
  <si>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</si>
  <si>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</si>
  <si>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</si>
  <si>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</si>
  <si>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</si>
  <si>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</si>
  <si>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</si>
  <si>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</si>
  <si>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</si>
  <si>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</si>
  <si>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</si>
  <si>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</si>
  <si>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</si>
  <si>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</si>
  <si>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</si>
  <si>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</si>
  <si>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</si>
  <si>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</si>
  <si>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</si>
  <si>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</si>
  <si>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</si>
  <si>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</si>
  <si>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</si>
  <si>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</si>
  <si>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</si>
  <si>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</si>
  <si>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</si>
  <si>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</si>
  <si>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</si>
  <si>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</si>
  <si>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</si>
  <si>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</si>
  <si>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</si>
  <si>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</si>
  <si>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</si>
  <si>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</si>
  <si>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</si>
  <si>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</si>
  <si>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</si>
  <si>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</si>
  <si>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</si>
  <si>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</si>
  <si>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</si>
  <si>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</si>
  <si>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</si>
  <si>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</si>
  <si>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</si>
  <si>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</si>
  <si>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</si>
  <si>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</si>
  <si>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</si>
  <si>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</si>
  <si>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</si>
  <si>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</si>
  <si>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</si>
  <si>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</si>
  <si>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</si>
  <si>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</si>
  <si>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</si>
  <si>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</si>
  <si>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</si>
  <si>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</si>
  <si>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</si>
  <si>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</si>
  <si>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</si>
  <si>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</si>
  <si>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</si>
  <si>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</si>
  <si>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</si>
  <si>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</si>
  <si>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</si>
  <si>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</si>
  <si>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</si>
  <si>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</si>
  <si>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</si>
  <si>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</si>
  <si>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</si>
  <si>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</si>
  <si>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</si>
  <si>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</si>
  <si>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</si>
  <si>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</si>
  <si>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</si>
  <si>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</si>
  <si>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</si>
  <si>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</si>
  <si>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</si>
  <si>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</si>
  <si>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</si>
  <si>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</si>
  <si>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</si>
  <si>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</si>
  <si>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</si>
  <si>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</si>
  <si>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</si>
  <si>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</si>
  <si>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</si>
  <si>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</si>
  <si>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</si>
  <si>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</si>
  <si>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</si>
  <si>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</si>
  <si>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</si>
  <si>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</si>
  <si>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</si>
  <si>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</si>
  <si>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</si>
  <si>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</si>
  <si>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</si>
  <si>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</si>
  <si>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</si>
  <si>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</si>
  <si>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</si>
  <si>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</si>
  <si>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</si>
  <si>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</si>
  <si>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</si>
  <si>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</si>
  <si>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</si>
  <si>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</si>
  <si>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</si>
  <si>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</si>
  <si>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</si>
  <si>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</si>
  <si>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</si>
  <si>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</si>
  <si>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</si>
  <si>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</si>
  <si>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</si>
  <si>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</si>
  <si>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</si>
  <si>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</si>
  <si>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</si>
  <si>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</si>
  <si>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</si>
  <si>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</si>
  <si>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</si>
  <si>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</si>
  <si>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</si>
  <si>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</si>
  <si>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</si>
  <si>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</si>
  <si>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</si>
  <si>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</si>
  <si>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</si>
  <si>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</si>
  <si>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</si>
  <si>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</si>
  <si>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</si>
  <si>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</si>
  <si>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</si>
  <si>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</si>
  <si>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</si>
  <si>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</si>
  <si>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</si>
  <si>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</si>
  <si>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</si>
  <si>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</si>
  <si>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</si>
  <si>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</si>
  <si>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</si>
  <si>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</si>
  <si>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</si>
  <si>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</si>
  <si>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</si>
  <si>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</si>
  <si>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</si>
  <si>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</si>
  <si>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</si>
  <si>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</si>
  <si>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</si>
  <si>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</si>
  <si>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</si>
  <si>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</si>
  <si>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</si>
  <si>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</si>
  <si>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</si>
  <si>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</si>
  <si>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</si>
  <si>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</si>
  <si>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</si>
  <si>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</si>
  <si>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</si>
  <si>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</si>
  <si>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</si>
  <si>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</si>
  <si>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</si>
  <si>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</si>
  <si>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</si>
  <si>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</si>
  <si>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</si>
  <si>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</si>
  <si>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</si>
  <si>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</si>
  <si>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</si>
  <si>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</si>
  <si>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</si>
  <si>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</si>
  <si>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</si>
  <si>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</si>
  <si>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</si>
  <si>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</si>
  <si>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</si>
  <si>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</si>
  <si>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</si>
  <si>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</si>
  <si>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</si>
  <si>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</si>
  <si>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</si>
  <si>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</si>
  <si>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</si>
  <si>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</si>
  <si>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</si>
  <si>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</si>
  <si>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</si>
  <si>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</si>
  <si>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</si>
  <si>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</si>
  <si>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</si>
  <si>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</si>
  <si>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</si>
  <si>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</si>
  <si>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</si>
  <si>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</si>
  <si>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</si>
  <si>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</si>
  <si>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</si>
  <si>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</si>
  <si>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</si>
  <si>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</si>
  <si>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</si>
  <si>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</si>
  <si>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</si>
  <si>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</si>
  <si>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</si>
  <si>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</si>
  <si>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</si>
  <si>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</si>
  <si>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</si>
  <si>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</si>
  <si>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</si>
  <si>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</si>
  <si>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</si>
  <si>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</si>
  <si>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</si>
  <si>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</si>
  <si>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</si>
  <si>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</si>
  <si>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</si>
  <si>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</si>
  <si>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</si>
  <si>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</si>
  <si>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</si>
  <si>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</si>
  <si>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</si>
  <si>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</si>
  <si>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</si>
  <si>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</si>
  <si>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</si>
  <si>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</si>
  <si>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</si>
  <si>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</si>
  <si>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</si>
  <si>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</si>
  <si>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</si>
  <si>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</si>
  <si>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</si>
  <si>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</si>
  <si>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</si>
  <si>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</si>
  <si>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</si>
  <si>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</si>
  <si>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</si>
  <si>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</si>
  <si>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</si>
  <si>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</si>
  <si>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</si>
  <si>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</si>
  <si>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</si>
  <si>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</si>
  <si>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</si>
  <si>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</si>
  <si>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</si>
  <si>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</si>
  <si>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</si>
  <si>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</si>
  <si>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</si>
  <si>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</si>
  <si>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</si>
  <si>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</si>
  <si>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</si>
  <si>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</si>
  <si>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</si>
  <si>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</si>
  <si>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</si>
  <si>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</si>
  <si>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</si>
  <si>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</si>
  <si>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</si>
  <si>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</si>
  <si>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</si>
  <si>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</si>
  <si>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</si>
  <si>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</si>
  <si>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</si>
  <si>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</si>
  <si>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</si>
  <si>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</si>
  <si>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</si>
  <si>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</si>
  <si>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</si>
  <si>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</si>
  <si>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</si>
  <si>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</si>
  <si>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</si>
  <si>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</si>
  <si>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</si>
  <si>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</si>
  <si>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</si>
  <si>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</si>
  <si>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</si>
  <si>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</si>
  <si>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</si>
  <si>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</si>
  <si>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</si>
  <si>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</si>
  <si>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</si>
  <si>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</si>
  <si>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</si>
  <si>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</si>
  <si>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</si>
  <si>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</si>
  <si>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</si>
  <si>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</si>
  <si>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</si>
  <si>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</si>
  <si>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</si>
  <si>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</si>
  <si>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</si>
  <si>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</si>
  <si>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</si>
  <si>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</si>
  <si>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</si>
  <si>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</si>
  <si>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</si>
  <si>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</si>
  <si>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</si>
  <si>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</si>
  <si>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</si>
  <si>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</si>
  <si>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</si>
  <si>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</si>
  <si>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</si>
  <si>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</si>
  <si>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</si>
  <si>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</si>
  <si>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</si>
  <si>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</si>
  <si>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</si>
  <si>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</si>
  <si>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</si>
  <si>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</si>
  <si>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</si>
  <si>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</si>
  <si>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</si>
  <si>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</si>
  <si>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</si>
  <si>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</si>
  <si>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</si>
  <si>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</si>
  <si>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</si>
  <si>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</si>
  <si>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</si>
  <si>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</si>
  <si>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</si>
  <si>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</si>
  <si>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</si>
  <si>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</si>
  <si>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</si>
  <si>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</si>
  <si>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</si>
  <si>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</si>
  <si>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</si>
  <si>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</si>
  <si>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</si>
  <si>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</si>
  <si>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</si>
  <si>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</si>
  <si>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</si>
  <si>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</si>
  <si>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</si>
  <si>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</si>
  <si>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</si>
  <si>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</si>
  <si>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</si>
  <si>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</si>
  <si>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</si>
  <si>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</si>
  <si>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</si>
  <si>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</si>
  <si>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</si>
  <si>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</si>
  <si>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</si>
  <si>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</si>
  <si>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</si>
  <si>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</si>
  <si>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</si>
  <si>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</si>
  <si>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</si>
  <si>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</si>
  <si>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</si>
  <si>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</si>
  <si>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</si>
  <si>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</si>
  <si>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</si>
  <si>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</si>
  <si>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</si>
  <si>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</si>
  <si>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</si>
  <si>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</si>
  <si>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</si>
  <si>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</si>
  <si>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</si>
  <si>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</si>
  <si>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</si>
  <si>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</si>
  <si>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</si>
  <si>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</si>
  <si>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</si>
  <si>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</si>
  <si>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</si>
  <si>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</si>
  <si>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</si>
  <si>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</si>
  <si>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</si>
  <si>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</si>
  <si>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</si>
  <si>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</si>
  <si>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</si>
  <si>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</si>
  <si>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</si>
  <si>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</si>
  <si>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</si>
  <si>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</si>
  <si>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</si>
  <si>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</si>
  <si>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</si>
  <si>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</si>
  <si>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</si>
  <si>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</si>
  <si>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</si>
  <si>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</si>
  <si>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</si>
  <si>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</si>
  <si>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</si>
  <si>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</si>
  <si>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</si>
  <si>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</si>
  <si>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</si>
  <si>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</si>
  <si>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</si>
  <si>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</si>
  <si>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</si>
  <si>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</si>
  <si>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</si>
  <si>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</si>
  <si>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</si>
  <si>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</si>
  <si>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</si>
  <si>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</si>
  <si>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</si>
  <si>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</si>
  <si>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</si>
  <si>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</si>
  <si>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</si>
  <si>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</si>
  <si>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</si>
  <si>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</si>
  <si>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</si>
  <si>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</si>
  <si>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</si>
  <si>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</si>
  <si>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</si>
  <si>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</si>
  <si>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</si>
  <si>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</si>
  <si>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</si>
  <si>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</si>
  <si>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</si>
  <si>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</si>
  <si>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</si>
  <si>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</si>
  <si>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</si>
  <si>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</si>
  <si>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</si>
  <si>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</si>
  <si>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</si>
  <si>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</si>
  <si>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</si>
  <si>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</si>
  <si>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</si>
  <si>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</si>
  <si>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</si>
  <si>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</si>
  <si>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</si>
  <si>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</si>
  <si>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</si>
  <si>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</si>
  <si>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</si>
  <si>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</si>
  <si>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</si>
  <si>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</si>
  <si>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</si>
  <si>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</si>
  <si>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</si>
  <si>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</si>
  <si>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</si>
  <si>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</si>
  <si>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</si>
  <si>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</si>
  <si>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</si>
  <si>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</si>
  <si>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</si>
  <si>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</si>
  <si>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</si>
  <si>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</si>
  <si>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</si>
  <si>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</si>
  <si>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</si>
  <si>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</si>
  <si>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</si>
  <si>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</si>
  <si>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</si>
  <si>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</si>
  <si>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</si>
  <si>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</si>
  <si>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</si>
  <si>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</si>
  <si>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</si>
  <si>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</si>
  <si>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</si>
  <si>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</si>
  <si>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</si>
  <si>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</si>
  <si>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</si>
  <si>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</si>
  <si>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</si>
  <si>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</si>
  <si>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</si>
  <si>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</si>
  <si>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</si>
  <si>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</si>
  <si>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</si>
  <si>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</si>
  <si>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</si>
  <si>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</si>
  <si>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</si>
  <si>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</si>
  <si>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</si>
  <si>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</si>
  <si>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</si>
  <si>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</si>
  <si>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</si>
  <si>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</si>
  <si>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</si>
  <si>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</si>
  <si>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</si>
  <si>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</si>
  <si>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</si>
  <si>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</si>
  <si>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</si>
  <si>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</si>
  <si>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</si>
  <si>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</si>
  <si>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</si>
  <si>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</si>
  <si>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</si>
  <si>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</si>
  <si>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</si>
  <si>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</si>
  <si>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</si>
  <si>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</si>
  <si>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</si>
  <si>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</si>
  <si>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</si>
  <si>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</si>
  <si>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</si>
  <si>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</si>
  <si>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</si>
  <si>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</si>
  <si>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</si>
  <si>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</si>
  <si>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</si>
  <si>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</si>
  <si>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</si>
  <si>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</si>
  <si>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</si>
  <si>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</si>
  <si>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</si>
  <si>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</si>
  <si>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</si>
  <si>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</si>
  <si>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</si>
  <si>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</si>
  <si>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</si>
  <si>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</si>
  <si>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</si>
  <si>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</si>
  <si>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</si>
  <si>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</si>
  <si>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</si>
  <si>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</si>
  <si>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</si>
  <si>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</si>
  <si>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</si>
  <si>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</si>
  <si>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</si>
  <si>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</si>
  <si>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</si>
  <si>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</si>
  <si>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</si>
  <si>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</si>
  <si>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</si>
  <si>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</si>
  <si>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</si>
  <si>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</si>
  <si>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</si>
  <si>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</si>
  <si>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</si>
  <si>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</si>
  <si>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</si>
  <si>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</si>
  <si>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</si>
  <si>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</si>
  <si>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</si>
  <si>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</si>
  <si>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</si>
  <si>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</si>
  <si>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</si>
  <si>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</si>
  <si>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</si>
  <si>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</si>
  <si>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</si>
  <si>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</si>
  <si>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</si>
  <si>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</si>
  <si>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</si>
  <si>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</si>
  <si>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</si>
  <si>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</si>
  <si>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</si>
  <si>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</si>
  <si>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</si>
  <si>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</si>
  <si>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</si>
  <si>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</si>
  <si>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</si>
  <si>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</si>
  <si>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</si>
  <si>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</si>
  <si>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</si>
  <si>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</si>
  <si>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</si>
  <si>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</si>
  <si>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</si>
  <si>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</si>
  <si>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</si>
  <si>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</si>
  <si>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</si>
  <si>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</si>
  <si>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</si>
  <si>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</si>
  <si>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</si>
  <si>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</si>
  <si>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</si>
  <si>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</si>
  <si>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</si>
  <si>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</si>
  <si>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</si>
  <si>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</si>
  <si>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</si>
  <si>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</si>
  <si>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</si>
  <si>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</si>
  <si>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</si>
  <si>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</si>
  <si>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</si>
  <si>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</si>
  <si>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</si>
  <si>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</si>
  <si>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</si>
  <si>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</si>
  <si>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</si>
  <si>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</si>
  <si>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</si>
  <si>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</si>
  <si>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</si>
  <si>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</si>
  <si>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</si>
  <si>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</si>
  <si>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</si>
  <si>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</si>
  <si>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</si>
  <si>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</si>
  <si>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</si>
  <si>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</si>
  <si>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</si>
  <si>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</si>
  <si>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</si>
  <si>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</si>
  <si>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</si>
  <si>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</si>
  <si>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</si>
  <si>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</si>
  <si>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</si>
  <si>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</si>
  <si>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</si>
  <si>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</si>
  <si>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</si>
  <si>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</si>
  <si>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</si>
  <si>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</si>
  <si>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</si>
  <si>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</si>
  <si>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</si>
  <si>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</si>
  <si>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</si>
  <si>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</si>
  <si>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</si>
  <si>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</si>
  <si>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</si>
  <si>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</si>
  <si>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</si>
  <si>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</si>
  <si>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</si>
  <si>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</si>
  <si>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</si>
  <si>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</si>
  <si>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</si>
  <si>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</si>
  <si>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</si>
  <si>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</si>
  <si>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</si>
  <si>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</si>
  <si>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</si>
  <si>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</si>
  <si>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</si>
  <si>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</si>
  <si>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</si>
  <si>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</si>
  <si>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</si>
  <si>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</si>
  <si>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</si>
  <si>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</si>
  <si>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</si>
  <si>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</si>
  <si>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</si>
  <si>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</si>
  <si>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</si>
  <si>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</si>
  <si>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</si>
  <si>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</si>
  <si>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</si>
  <si>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</si>
  <si>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</si>
  <si>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</si>
  <si>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</si>
  <si>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</si>
  <si>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</si>
  <si>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</si>
  <si>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</si>
  <si>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</si>
  <si>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</si>
  <si>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</si>
  <si>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</si>
  <si>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</si>
  <si>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</si>
  <si>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</si>
  <si>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</si>
  <si>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</si>
  <si>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</si>
  <si>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</si>
  <si>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</si>
  <si>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</si>
  <si>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</si>
  <si>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</si>
  <si>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</si>
  <si>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</si>
  <si>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</si>
  <si>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</si>
  <si>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</si>
  <si>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</si>
  <si>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</si>
  <si>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</si>
  <si>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</si>
  <si>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</si>
  <si>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</si>
  <si>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</si>
  <si>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</si>
  <si>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</si>
  <si>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</si>
  <si>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</si>
  <si>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</si>
  <si>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</si>
  <si>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</si>
  <si>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</si>
  <si>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</si>
  <si>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</si>
  <si>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</si>
  <si>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</si>
  <si>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</si>
  <si>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</si>
  <si>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</si>
  <si>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</si>
  <si>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</si>
  <si>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</si>
  <si>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</si>
  <si>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</si>
  <si>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</si>
  <si>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</si>
  <si>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</si>
  <si>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</si>
  <si>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</si>
  <si>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</si>
  <si>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</si>
  <si>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</si>
  <si>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</si>
  <si>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</si>
  <si>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</si>
  <si>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</si>
  <si>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</si>
  <si>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</si>
  <si>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</si>
  <si>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</si>
  <si>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</si>
  <si>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</si>
  <si>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</si>
  <si>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</si>
  <si>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</si>
  <si>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</si>
  <si>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</si>
  <si>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</si>
  <si>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</si>
  <si>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</si>
  <si>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</si>
  <si>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</si>
  <si>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</si>
  <si>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</si>
  <si>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</si>
  <si>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</si>
  <si>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</si>
  <si>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</si>
  <si>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</si>
  <si>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</si>
  <si>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</si>
  <si>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</si>
  <si>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</si>
  <si>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</si>
  <si>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</si>
  <si>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</si>
  <si>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</si>
  <si>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</si>
  <si>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</si>
  <si>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</si>
  <si>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</si>
  <si>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</si>
  <si>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</si>
  <si>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</si>
  <si>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</si>
  <si>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</si>
  <si>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</si>
  <si>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</si>
  <si>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</si>
  <si>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</si>
  <si>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</si>
  <si>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</si>
  <si>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</si>
  <si>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</si>
  <si>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</si>
  <si>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</si>
  <si>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</si>
  <si>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</si>
  <si>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</si>
  <si>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</si>
  <si>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</si>
  <si>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</si>
  <si>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</si>
  <si>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</si>
  <si>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</si>
  <si>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</si>
  <si>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</si>
  <si>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</si>
  <si>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</si>
  <si>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</si>
  <si>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</si>
  <si>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</si>
  <si>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</si>
  <si>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</si>
  <si>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</si>
  <si>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</si>
  <si>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</si>
  <si>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</si>
  <si>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</si>
  <si>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</si>
  <si>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</si>
  <si>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</si>
  <si>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</si>
  <si>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</si>
  <si>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</si>
  <si>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</si>
  <si>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</si>
  <si>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</si>
  <si>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</si>
  <si>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</si>
  <si>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</si>
  <si>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</si>
  <si>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</si>
  <si>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</si>
  <si>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</si>
  <si>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</si>
  <si>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</si>
  <si>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</si>
  <si>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</si>
  <si>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</si>
  <si>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</si>
  <si>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</si>
  <si>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</si>
  <si>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</si>
  <si>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</si>
  <si>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</si>
  <si>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</si>
  <si>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</si>
  <si>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</si>
  <si>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</si>
  <si>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</si>
  <si>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</si>
  <si>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</si>
  <si>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</si>
  <si>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</si>
  <si>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</si>
  <si>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</si>
  <si>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</si>
  <si>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</si>
  <si>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</si>
  <si>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</si>
  <si>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</si>
  <si>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</si>
  <si>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</si>
  <si>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</si>
  <si>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</si>
  <si>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</si>
  <si>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</si>
  <si>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</si>
  <si>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</si>
  <si>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</si>
  <si>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</si>
  <si>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</si>
  <si>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</si>
  <si>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</si>
  <si>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</si>
  <si>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</si>
  <si>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</si>
  <si>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</si>
  <si>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</si>
  <si>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</si>
  <si>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</si>
  <si>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</si>
  <si>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</si>
  <si>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</si>
  <si>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</si>
  <si>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</si>
  <si>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</si>
  <si>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</si>
  <si>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</si>
  <si>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</si>
  <si>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</si>
  <si>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</si>
  <si>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</si>
  <si>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</si>
  <si>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</si>
  <si>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</si>
  <si>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</si>
  <si>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</si>
  <si>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</si>
  <si>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</si>
  <si>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</si>
  <si>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</si>
  <si>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</si>
  <si>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</si>
  <si>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</si>
  <si>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</si>
  <si>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</si>
  <si>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</si>
  <si>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</si>
  <si>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</si>
  <si>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</si>
  <si>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</si>
  <si>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</si>
  <si>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</si>
  <si>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</si>
  <si>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</si>
  <si>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</si>
  <si>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</si>
  <si>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</si>
  <si>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</si>
  <si>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</si>
  <si>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</si>
  <si>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</si>
  <si>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</si>
  <si>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</si>
  <si>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</si>
  <si>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</si>
  <si>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</si>
  <si>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</si>
  <si>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</si>
  <si>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</si>
  <si>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</si>
  <si>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</si>
  <si>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</si>
  <si>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</si>
  <si>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</si>
  <si>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</si>
  <si>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</si>
  <si>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</si>
  <si>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</si>
  <si>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</si>
  <si>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</si>
  <si>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</si>
  <si>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</si>
  <si>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</si>
  <si>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</si>
  <si>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</si>
  <si>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</si>
  <si>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</si>
  <si>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</si>
  <si>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</si>
  <si>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</si>
  <si>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</si>
  <si>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</si>
  <si>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</si>
  <si>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</si>
  <si>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</si>
  <si>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</si>
  <si>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</si>
  <si>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</si>
  <si>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</si>
  <si>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</si>
  <si>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</si>
  <si>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</si>
  <si>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</si>
  <si>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</si>
  <si>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</si>
  <si>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</si>
  <si>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</si>
  <si>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</si>
  <si>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</si>
  <si>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</si>
  <si>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</si>
  <si>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</si>
  <si>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</si>
  <si>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</si>
  <si>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</si>
  <si>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</si>
  <si>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</si>
  <si>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</si>
  <si>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</si>
  <si>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</si>
  <si>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</si>
  <si>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</si>
  <si>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</si>
  <si>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</si>
  <si>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</si>
  <si>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</si>
  <si>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</si>
  <si>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</si>
  <si>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</si>
  <si>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</si>
  <si>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</si>
  <si>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</si>
  <si>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</si>
  <si>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</si>
  <si>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</si>
  <si>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</si>
  <si>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</si>
  <si>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</si>
  <si>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</si>
  <si>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</si>
  <si>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</si>
  <si>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</si>
  <si>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</si>
  <si>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</si>
  <si>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</si>
  <si>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</si>
  <si>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</si>
  <si>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</si>
  <si>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</si>
  <si>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</si>
  <si>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</si>
  <si>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</si>
  <si>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</si>
  <si>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</si>
  <si>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</si>
  <si>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</si>
  <si>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</si>
  <si>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</si>
  <si>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</si>
  <si>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</si>
  <si>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</si>
  <si>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</si>
  <si>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</si>
  <si>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</si>
  <si>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</si>
  <si>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</si>
  <si>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</si>
  <si>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</si>
  <si>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</si>
  <si>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</si>
  <si>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</si>
  <si>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</si>
  <si>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</si>
  <si>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</si>
  <si>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</si>
  <si>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</si>
  <si>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</si>
  <si>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</si>
  <si>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</si>
  <si>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</si>
  <si>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</si>
  <si>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</si>
  <si>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</si>
  <si>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</si>
  <si>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</si>
  <si>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</si>
  <si>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</si>
  <si>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</si>
  <si>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</si>
  <si>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</si>
  <si>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</si>
  <si>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</si>
  <si>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</si>
  <si>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</si>
  <si>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</si>
  <si>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</si>
  <si>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</si>
  <si>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</si>
  <si>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</si>
  <si>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</si>
  <si>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</si>
  <si>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</si>
  <si>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</si>
  <si>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</si>
  <si>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</si>
  <si>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</si>
  <si>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</si>
  <si>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</si>
  <si>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</si>
  <si>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</si>
  <si>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</si>
  <si>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</si>
  <si>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</si>
  <si>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</si>
  <si>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</si>
  <si>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</si>
  <si>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</si>
  <si>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</si>
  <si>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</si>
  <si>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</si>
  <si>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</si>
  <si>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</si>
  <si>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</si>
  <si>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</si>
  <si>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</si>
  <si>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</si>
  <si>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</si>
  <si>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</si>
  <si>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</si>
  <si>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</si>
  <si>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</si>
  <si>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</si>
  <si>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</si>
  <si>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</si>
  <si>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</si>
  <si>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</si>
  <si>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</si>
  <si>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</si>
  <si>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</si>
  <si>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</si>
  <si>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</si>
  <si>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</si>
  <si>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</si>
  <si>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</si>
  <si>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</si>
  <si>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</si>
  <si>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</si>
  <si>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</si>
  <si>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</si>
  <si>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</si>
  <si>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</si>
  <si>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</si>
  <si>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</si>
  <si>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</si>
  <si>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</si>
  <si>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</si>
  <si>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</si>
  <si>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</si>
  <si>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</si>
  <si>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</si>
  <si>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</si>
  <si>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</si>
  <si>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</si>
  <si>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</si>
  <si>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</si>
  <si>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</si>
  <si>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</si>
  <si>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</si>
  <si>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</si>
  <si>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</si>
  <si>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</si>
  <si>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</si>
  <si>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</si>
  <si>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</si>
  <si>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</si>
  <si>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</si>
  <si>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</si>
  <si>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</si>
  <si>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</si>
  <si>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</si>
  <si>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</si>
  <si>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</si>
  <si>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</si>
  <si>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</si>
  <si>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</si>
  <si>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</si>
  <si>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</si>
  <si>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</si>
  <si>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</si>
  <si>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</si>
  <si>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</si>
  <si>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</si>
  <si>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</si>
  <si>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</si>
  <si>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</si>
  <si>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</si>
  <si>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</si>
  <si>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</si>
  <si>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</si>
  <si>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</si>
  <si>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</si>
  <si>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</si>
  <si>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</si>
  <si>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</si>
  <si>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</si>
  <si>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</si>
  <si>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</si>
  <si>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</si>
  <si>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</si>
  <si>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</si>
  <si>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</si>
  <si>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</si>
  <si>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</si>
  <si>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</si>
  <si>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</si>
  <si>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</si>
  <si>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</si>
  <si>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</si>
  <si>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</si>
  <si>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</si>
  <si>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</si>
  <si>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</si>
  <si>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</si>
  <si>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</si>
  <si>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</si>
  <si>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</si>
  <si>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</si>
  <si>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</si>
  <si>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</si>
  <si>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</si>
  <si>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</si>
  <si>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</si>
  <si>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</si>
  <si>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</si>
  <si>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</si>
  <si>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</si>
  <si>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</si>
  <si>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</si>
  <si>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</si>
  <si>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</si>
  <si>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</si>
  <si>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</si>
  <si>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</si>
  <si>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</si>
  <si>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</si>
  <si>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</si>
  <si>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</si>
  <si>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</si>
  <si>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</si>
  <si>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</si>
  <si>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</si>
  <si>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</si>
  <si>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</si>
  <si>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</si>
  <si>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</si>
  <si>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</si>
  <si>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</si>
  <si>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</si>
  <si>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</si>
  <si>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</si>
  <si>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</si>
  <si>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</si>
  <si>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</si>
  <si>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</si>
  <si>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</si>
  <si>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</si>
  <si>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</si>
  <si>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</si>
  <si>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</si>
  <si>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</si>
  <si>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</si>
  <si>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</si>
  <si>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</si>
  <si>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</si>
  <si>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</si>
  <si>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</si>
  <si>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</si>
  <si>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</si>
  <si>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</si>
  <si>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</si>
  <si>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</si>
  <si>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</si>
  <si>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</si>
  <si>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</si>
  <si>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</si>
  <si>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</si>
  <si>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</si>
  <si>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</si>
  <si>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</si>
  <si>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</si>
  <si>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</si>
  <si>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</si>
  <si>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</si>
  <si>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</si>
  <si>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</si>
  <si>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</si>
  <si>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</si>
  <si>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</si>
  <si>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</si>
  <si>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</si>
  <si>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</si>
  <si>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</si>
  <si>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</si>
  <si>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</si>
  <si>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</si>
  <si>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</si>
  <si>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</si>
  <si>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</si>
  <si>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</si>
  <si>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</si>
  <si>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</si>
  <si>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</si>
  <si>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</si>
  <si>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</si>
  <si>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</si>
  <si>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</si>
  <si>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</si>
  <si>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</si>
  <si>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</si>
  <si>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</si>
  <si>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</si>
  <si>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</si>
  <si>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</si>
  <si>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</si>
  <si>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</si>
  <si>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</si>
  <si>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</si>
  <si>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</si>
  <si>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</si>
  <si>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</si>
  <si>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</si>
  <si>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</si>
  <si>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</si>
  <si>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</si>
  <si>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</si>
  <si>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</si>
  <si>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</si>
  <si>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</si>
  <si>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</si>
  <si>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</si>
  <si>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</si>
  <si>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</si>
  <si>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</si>
  <si>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</si>
  <si>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</si>
  <si>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</si>
  <si>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</si>
  <si>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</si>
  <si>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</si>
  <si>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</si>
  <si>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</si>
  <si>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</si>
  <si>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</si>
  <si>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</si>
  <si>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</si>
  <si>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</si>
  <si>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</si>
  <si>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</si>
  <si>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</si>
  <si>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</si>
  <si>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</si>
  <si>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</si>
  <si>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</si>
  <si>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</si>
  <si>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</si>
  <si>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</si>
  <si>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</si>
  <si>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</si>
  <si>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</si>
  <si>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</si>
  <si>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</si>
  <si>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</si>
  <si>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</si>
  <si>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</si>
  <si>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</si>
  <si>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</si>
  <si>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</si>
  <si>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</si>
  <si>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</si>
  <si>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</si>
  <si>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</si>
  <si>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</si>
  <si>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</si>
  <si>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</si>
  <si>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</si>
  <si>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</si>
  <si>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</si>
  <si>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</si>
  <si>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</si>
  <si>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</si>
  <si>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</si>
  <si>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</si>
  <si>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</si>
  <si>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</si>
  <si>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</si>
  <si>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</si>
  <si>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</si>
  <si>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</si>
  <si>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</si>
  <si>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</si>
  <si>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</si>
  <si>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</si>
  <si>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</si>
  <si>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</si>
  <si>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</si>
  <si>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</si>
  <si>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</si>
  <si>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</si>
  <si>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</si>
  <si>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</si>
  <si>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</si>
  <si>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</si>
  <si>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</si>
  <si>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</si>
  <si>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</si>
  <si>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</si>
  <si>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</si>
  <si>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</si>
  <si>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</si>
  <si>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</si>
  <si>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</si>
  <si>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</si>
  <si>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</si>
  <si>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</si>
  <si>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</si>
  <si>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</si>
  <si>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</si>
  <si>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</si>
  <si>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</si>
  <si>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</si>
  <si>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</si>
  <si>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</si>
  <si>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</si>
  <si>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</si>
  <si>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</si>
  <si>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</si>
  <si>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</si>
  <si>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</si>
  <si>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</si>
  <si>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</si>
  <si>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</si>
  <si>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</si>
  <si>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</si>
  <si>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</si>
  <si>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</si>
  <si>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</si>
  <si>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</si>
  <si>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</si>
  <si>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</si>
  <si>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</si>
  <si>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</si>
  <si>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</si>
  <si>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</si>
  <si>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</si>
  <si>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</si>
  <si>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</si>
  <si>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</si>
  <si>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</si>
  <si>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</si>
  <si>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</si>
  <si>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</si>
  <si>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</si>
  <si>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</si>
  <si>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</si>
  <si>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</si>
  <si>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</si>
  <si>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</si>
  <si>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</si>
  <si>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</si>
  <si>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</si>
  <si>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</si>
  <si>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</si>
  <si>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</si>
  <si>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</si>
  <si>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</si>
  <si>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</si>
  <si>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</si>
  <si>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</si>
  <si>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</si>
  <si>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</si>
  <si>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</si>
  <si>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</si>
  <si>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</si>
  <si>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</si>
  <si>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</si>
  <si>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</si>
  <si>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</si>
  <si>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</si>
  <si>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</si>
  <si>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</si>
  <si>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</si>
  <si>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</si>
  <si>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</si>
  <si>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</si>
  <si>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</si>
  <si>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</si>
  <si>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</si>
  <si>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</si>
  <si>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</si>
  <si>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</si>
  <si>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</si>
  <si>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</si>
  <si>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</si>
  <si>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</si>
  <si>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</si>
  <si>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</si>
  <si>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</si>
  <si>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</si>
  <si>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</si>
  <si>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</si>
  <si>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</si>
  <si>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</si>
  <si>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</si>
  <si>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</si>
  <si>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</si>
  <si>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</si>
  <si>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</si>
  <si>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</si>
  <si>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</si>
  <si>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</si>
  <si>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</si>
  <si>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</si>
  <si>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</si>
  <si>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</si>
  <si>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</si>
  <si>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</si>
  <si>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</si>
  <si>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</si>
  <si>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</si>
  <si>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</si>
  <si>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</si>
  <si>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</si>
  <si>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</si>
  <si>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</si>
  <si>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</si>
  <si>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</si>
  <si>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</si>
  <si>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</si>
  <si>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</si>
  <si>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</si>
  <si>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</si>
  <si>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</si>
  <si>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</si>
  <si>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</si>
  <si>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</si>
  <si>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</si>
  <si>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</si>
  <si>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</si>
  <si>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</si>
  <si>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</si>
  <si>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</si>
  <si>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</si>
  <si>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</si>
  <si>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</si>
  <si>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</si>
  <si>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</si>
  <si>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</si>
  <si>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</si>
  <si>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</si>
  <si>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</si>
  <si>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</si>
  <si>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</si>
  <si>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</si>
  <si>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</si>
  <si>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</si>
  <si>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</si>
  <si>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</si>
  <si>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</si>
  <si>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</si>
  <si>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</si>
  <si>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</si>
  <si>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</si>
  <si>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</si>
  <si>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</si>
  <si>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</si>
  <si>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</si>
  <si>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</si>
  <si>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</si>
  <si>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</si>
  <si>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</si>
  <si>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</si>
  <si>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</si>
  <si>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</si>
  <si>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</si>
  <si>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</si>
  <si>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</si>
  <si>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</si>
  <si>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</si>
  <si>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</si>
  <si>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</si>
  <si>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</si>
  <si>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</si>
  <si>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</si>
  <si>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</si>
  <si>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</si>
  <si>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</si>
  <si>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</si>
  <si>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</si>
  <si>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</si>
  <si>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</si>
  <si>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</si>
  <si>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</si>
  <si>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</si>
  <si>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</si>
  <si>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</si>
  <si>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</si>
  <si>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</si>
  <si>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</si>
  <si>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</si>
  <si>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</si>
  <si>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</si>
  <si>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</si>
  <si>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</si>
  <si>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</si>
  <si>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</si>
  <si>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</si>
  <si>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</si>
  <si>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</si>
  <si>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</si>
  <si>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</si>
  <si>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</si>
  <si>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</si>
  <si>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</si>
  <si>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</si>
  <si>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</si>
  <si>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</si>
  <si>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</si>
  <si>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</si>
  <si>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</si>
  <si>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</si>
  <si>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</si>
  <si>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</si>
  <si>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</si>
  <si>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</si>
  <si>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</si>
  <si>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</si>
  <si>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</si>
  <si>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</si>
  <si>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</si>
  <si>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</si>
  <si>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</si>
  <si>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</si>
  <si>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</si>
  <si>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</si>
  <si>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</si>
  <si>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</si>
  <si>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</si>
  <si>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</si>
  <si>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</si>
  <si>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</si>
  <si>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</si>
  <si>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</si>
  <si>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</si>
  <si>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</si>
  <si>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</si>
  <si>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</si>
  <si>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</si>
  <si>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</si>
  <si>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</si>
  <si>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</si>
  <si>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</si>
  <si>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</si>
  <si>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</si>
  <si>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</si>
  <si>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</si>
  <si>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</si>
  <si>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</si>
  <si>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</si>
  <si>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</si>
  <si>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</si>
  <si>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</si>
  <si>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</si>
  <si>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</si>
  <si>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</si>
  <si>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</si>
  <si>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</si>
  <si>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</si>
  <si>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</si>
  <si>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</si>
  <si>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</si>
  <si>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</si>
  <si>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</si>
  <si>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</si>
  <si>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</si>
  <si>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</si>
  <si>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</si>
  <si>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</si>
  <si>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</si>
  <si>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</si>
  <si>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</si>
  <si>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</si>
  <si>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</si>
  <si>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</si>
  <si>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</si>
  <si>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</si>
  <si>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</si>
  <si>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</si>
  <si>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</si>
  <si>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</si>
  <si>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</si>
  <si>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</si>
  <si>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</si>
  <si>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</si>
  <si>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</si>
  <si>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</si>
  <si>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</si>
  <si>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</si>
  <si>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</si>
  <si>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</si>
  <si>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</si>
  <si>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</si>
  <si>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</si>
  <si>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</si>
  <si>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</si>
  <si>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</si>
  <si>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</si>
  <si>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</si>
  <si>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</si>
  <si>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</si>
  <si>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</si>
  <si>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</si>
  <si>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</si>
  <si>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</si>
  <si>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</si>
  <si>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</si>
  <si>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</si>
  <si>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</si>
  <si>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</si>
  <si>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</si>
  <si>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</si>
  <si>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</si>
  <si>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</si>
  <si>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</si>
  <si>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</si>
  <si>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</si>
  <si>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</si>
  <si>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</si>
  <si>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</si>
  <si>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</si>
  <si>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</si>
  <si>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</si>
  <si>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</si>
  <si>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</si>
  <si>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</si>
  <si>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</si>
  <si>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</si>
  <si>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</si>
  <si>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</si>
  <si>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</si>
  <si>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</si>
  <si>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</si>
  <si>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</si>
  <si>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</si>
  <si>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</si>
  <si>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</si>
  <si>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</si>
  <si>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</si>
  <si>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</si>
  <si>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</si>
  <si>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</si>
  <si>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</si>
  <si>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</si>
  <si>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</si>
  <si>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</si>
  <si>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</si>
  <si>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</si>
  <si>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</si>
  <si>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</si>
  <si>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</si>
  <si>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</si>
  <si>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</si>
  <si>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</si>
  <si>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</si>
  <si>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</si>
  <si>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</si>
  <si>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</si>
  <si>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</si>
  <si>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</si>
  <si>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</si>
  <si>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</si>
  <si>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</si>
  <si>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</si>
  <si>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</si>
  <si>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</si>
  <si>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</si>
  <si>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</si>
  <si>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</si>
  <si>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</si>
  <si>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</si>
  <si>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</si>
  <si>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</si>
  <si>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</si>
  <si>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</si>
  <si>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</si>
  <si>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</si>
  <si>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</si>
  <si>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</si>
  <si>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</si>
  <si>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</si>
  <si>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</si>
  <si>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</si>
  <si>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</si>
  <si>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</si>
  <si>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</si>
  <si>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</si>
  <si>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</si>
  <si>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</si>
  <si>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</si>
  <si>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</si>
  <si>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</si>
  <si>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</si>
  <si>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</si>
  <si>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</si>
  <si>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</si>
  <si>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</si>
  <si>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</si>
  <si>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</si>
  <si>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</si>
  <si>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</si>
  <si>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</si>
  <si>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</si>
  <si>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</si>
  <si>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</si>
  <si>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</si>
  <si>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</si>
  <si>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</si>
  <si>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</si>
  <si>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</si>
  <si>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</si>
  <si>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</si>
  <si>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</si>
  <si>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</si>
  <si>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</si>
  <si>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</si>
  <si>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</si>
  <si>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</si>
  <si>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</si>
  <si>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</si>
  <si>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</si>
  <si>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</si>
  <si>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</si>
  <si>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</si>
  <si>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</si>
  <si>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</si>
  <si>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</si>
  <si>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</si>
  <si>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</si>
  <si>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</si>
  <si>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</si>
  <si>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</si>
  <si>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</si>
  <si>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</si>
  <si>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</si>
  <si>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</si>
  <si>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</si>
  <si>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</si>
  <si>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</si>
  <si>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</si>
  <si>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</si>
  <si>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</si>
  <si>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</si>
  <si>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</si>
  <si>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</si>
  <si>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</si>
  <si>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</si>
  <si>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</si>
  <si>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</si>
  <si>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</si>
  <si>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</si>
  <si>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</si>
  <si>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</si>
  <si>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</si>
  <si>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</si>
  <si>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</si>
  <si>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</si>
  <si>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</si>
  <si>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</si>
  <si>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</si>
  <si>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</si>
  <si>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</si>
  <si>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</si>
  <si>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</si>
  <si>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</si>
  <si>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</si>
  <si>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</si>
  <si>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</si>
  <si>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</si>
  <si>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</si>
  <si>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</si>
  <si>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</si>
  <si>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</si>
  <si>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</si>
  <si>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</si>
  <si>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</si>
  <si>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</si>
  <si>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</si>
  <si>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</si>
  <si>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</si>
  <si>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</si>
  <si>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</si>
  <si>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</si>
  <si>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</si>
  <si>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</si>
  <si>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</si>
  <si>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</si>
  <si>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</si>
  <si>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</si>
  <si>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</si>
  <si>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</si>
  <si>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</si>
  <si>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</si>
  <si>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</si>
  <si>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</si>
  <si>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</si>
  <si>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</si>
  <si>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</si>
  <si>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</si>
  <si>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</si>
  <si>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</si>
  <si>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</si>
  <si>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</si>
  <si>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</si>
  <si>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</si>
  <si>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</si>
  <si>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</si>
  <si>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</si>
  <si>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</si>
  <si>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</si>
  <si>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</si>
  <si>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</si>
  <si>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</si>
  <si>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</si>
  <si>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</si>
  <si>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</si>
  <si>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</si>
  <si>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</si>
  <si>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</si>
  <si>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</si>
  <si>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</si>
  <si>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</si>
  <si>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</si>
  <si>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</si>
  <si>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</si>
  <si>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</si>
  <si>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</si>
  <si>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</si>
  <si>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</si>
  <si>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</si>
  <si>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</si>
  <si>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</si>
  <si>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</si>
  <si>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</si>
  <si>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</si>
  <si>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</si>
  <si>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</si>
  <si>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</si>
  <si>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</si>
  <si>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</si>
  <si>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</si>
  <si>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</si>
  <si>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</si>
  <si>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</si>
  <si>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</si>
  <si>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</si>
  <si>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</si>
  <si>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</si>
  <si>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</si>
  <si>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</si>
  <si>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</si>
  <si>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</si>
  <si>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</si>
  <si>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</si>
  <si>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</si>
  <si>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</si>
  <si>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</si>
  <si>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</si>
  <si>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</si>
  <si>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</si>
  <si>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</si>
  <si>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</si>
  <si>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</si>
  <si>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</si>
  <si>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</si>
  <si>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</si>
  <si>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</si>
  <si>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</si>
  <si>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</si>
  <si>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</si>
  <si>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</si>
  <si>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</si>
  <si>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</si>
  <si>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</si>
  <si>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</si>
  <si>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</si>
  <si>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</si>
  <si>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</si>
  <si>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</si>
  <si>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</si>
  <si>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</si>
  <si>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</si>
  <si>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</si>
  <si>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</si>
  <si>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</si>
  <si>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</si>
  <si>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</si>
  <si>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</si>
  <si>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</si>
  <si>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</si>
  <si>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</si>
  <si>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</si>
  <si>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</si>
  <si>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</si>
  <si>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</si>
  <si>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</si>
  <si>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</si>
  <si>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</si>
  <si>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</si>
  <si>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</si>
  <si>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</si>
  <si>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</si>
  <si>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</si>
  <si>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</si>
  <si>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</si>
  <si>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</si>
  <si>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</si>
  <si>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</si>
  <si>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</si>
  <si>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</si>
  <si>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</si>
  <si>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</si>
  <si>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</si>
  <si>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</si>
  <si>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</si>
  <si>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</si>
  <si>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</si>
  <si>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</si>
  <si>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</si>
  <si>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</si>
  <si>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</si>
  <si>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</si>
  <si>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</si>
  <si>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</si>
  <si>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</si>
  <si>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</si>
  <si>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</si>
  <si>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</si>
  <si>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</si>
  <si>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</si>
  <si>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</si>
  <si>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</si>
  <si>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</si>
  <si>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</si>
  <si>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</si>
  <si>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</si>
  <si>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</si>
  <si>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</si>
  <si>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</si>
  <si>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</si>
  <si>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</si>
  <si>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</si>
  <si>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</si>
  <si>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</si>
  <si>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</si>
  <si>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</si>
  <si>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</si>
  <si>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</si>
  <si>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</si>
  <si>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</si>
  <si>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</si>
  <si>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</si>
  <si>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</si>
  <si>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</si>
  <si>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</si>
  <si>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</si>
  <si>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</si>
  <si>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</si>
  <si>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</si>
  <si>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</si>
  <si>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</si>
  <si>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</si>
  <si>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</si>
  <si>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</si>
  <si>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</si>
  <si>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</si>
  <si>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</si>
  <si>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</si>
  <si>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</si>
  <si>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</si>
  <si>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</si>
  <si>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</si>
  <si>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</si>
  <si>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</si>
  <si>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</si>
  <si>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</si>
  <si>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</si>
  <si>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</si>
  <si>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</si>
  <si>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</si>
  <si>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</si>
  <si>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</si>
  <si>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</si>
  <si>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</si>
  <si>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</si>
  <si>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</si>
  <si>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</si>
  <si>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</si>
  <si>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</si>
  <si>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</si>
  <si>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</si>
  <si>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</si>
  <si>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</si>
  <si>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</si>
  <si>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</si>
  <si>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</si>
  <si>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</si>
  <si>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</si>
  <si>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</si>
  <si>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</si>
  <si>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</si>
  <si>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</si>
  <si>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</si>
  <si>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</si>
  <si>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</si>
  <si>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</si>
  <si>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</si>
  <si>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</si>
  <si>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</si>
  <si>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</si>
  <si>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</si>
  <si>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</si>
  <si>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</si>
  <si>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</si>
  <si>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</si>
  <si>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</si>
  <si>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</si>
  <si>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</si>
  <si>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</si>
  <si>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</si>
  <si>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</si>
  <si>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</si>
  <si>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</si>
  <si>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</si>
  <si>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</si>
  <si>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</si>
  <si>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</si>
  <si>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</si>
  <si>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</si>
  <si>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</si>
  <si>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</si>
  <si>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</si>
  <si>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</si>
  <si>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</si>
  <si>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</si>
  <si>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</si>
  <si>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</si>
  <si>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</si>
  <si>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</si>
  <si>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</si>
  <si>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</si>
  <si>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</si>
  <si>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</si>
  <si>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</si>
  <si>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</si>
  <si>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</si>
  <si>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</si>
  <si>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</si>
  <si>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</si>
  <si>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</si>
  <si>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</si>
  <si>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</si>
  <si>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</si>
  <si>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</si>
  <si>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</si>
  <si>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</si>
  <si>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</si>
  <si>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</si>
  <si>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</si>
  <si>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</si>
  <si>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</si>
  <si>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</si>
  <si>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</si>
  <si>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</si>
  <si>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</si>
  <si>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</si>
  <si>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</si>
  <si>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</si>
  <si>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</si>
  <si>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</si>
  <si>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</si>
  <si>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</si>
  <si>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</si>
  <si>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</si>
  <si>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</si>
  <si>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</si>
  <si>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</si>
  <si>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</si>
  <si>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</si>
  <si>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</si>
  <si>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</si>
  <si>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</si>
  <si>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</si>
  <si>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</si>
  <si>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</si>
  <si>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</si>
  <si>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</si>
  <si>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</si>
  <si>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</si>
  <si>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</si>
  <si>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</si>
  <si>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</si>
  <si>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</si>
  <si>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</si>
  <si>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</si>
  <si>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</si>
  <si>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</si>
  <si>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</si>
  <si>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</si>
  <si>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</si>
  <si>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</si>
  <si>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</si>
  <si>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</si>
  <si>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</si>
  <si>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</si>
  <si>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</si>
  <si>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</si>
  <si>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</si>
  <si>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</si>
  <si>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</si>
  <si>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</si>
  <si>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</si>
  <si>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</si>
  <si>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</si>
  <si>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</si>
  <si>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</si>
  <si>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</si>
  <si>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</si>
  <si>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</si>
  <si>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</si>
  <si>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</si>
  <si>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</si>
  <si>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</si>
  <si>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</si>
  <si>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</si>
  <si>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</si>
  <si>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</si>
  <si>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</si>
  <si>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</si>
  <si>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</si>
  <si>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</si>
  <si>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</si>
  <si>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</si>
  <si>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</si>
  <si>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</si>
  <si>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</si>
  <si>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</si>
  <si>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</si>
  <si>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</si>
  <si>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</si>
  <si>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</si>
  <si>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</si>
  <si>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</si>
  <si>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</si>
  <si>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</si>
  <si>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</si>
  <si>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</si>
  <si>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</si>
  <si>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</si>
  <si>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</si>
  <si>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</si>
  <si>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</si>
  <si>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</si>
  <si>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</si>
  <si>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</si>
  <si>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</si>
  <si>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</si>
  <si>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</si>
  <si>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</si>
  <si>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</si>
  <si>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</si>
  <si>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</si>
  <si>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</si>
  <si>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</si>
  <si>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</si>
  <si>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</si>
  <si>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</si>
  <si>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</si>
  <si>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</si>
  <si>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</si>
  <si>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</si>
  <si>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</si>
  <si>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</si>
  <si>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</si>
  <si>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</si>
  <si>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</si>
  <si>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</si>
  <si>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</si>
  <si>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</si>
  <si>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</si>
  <si>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</si>
  <si>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</si>
  <si>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</si>
  <si>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</si>
  <si>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</si>
  <si>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</si>
  <si>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</si>
  <si>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</si>
  <si>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</si>
  <si>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</si>
  <si>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</si>
  <si>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</si>
  <si>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</si>
  <si>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</si>
  <si>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</si>
  <si>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</si>
  <si>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</si>
  <si>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</si>
  <si>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</si>
  <si>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</si>
  <si>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</si>
  <si>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</si>
  <si>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</si>
  <si>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</si>
  <si>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</si>
  <si>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</si>
  <si>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</si>
  <si>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</si>
  <si>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</si>
  <si>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</si>
  <si>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</si>
  <si>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</si>
  <si>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</si>
  <si>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</si>
  <si>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</si>
  <si>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</si>
  <si>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</si>
  <si>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</si>
  <si>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</si>
  <si>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</si>
  <si>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</si>
  <si>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</si>
  <si>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</si>
  <si>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</si>
  <si>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</si>
  <si>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</si>
  <si>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</si>
  <si>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</si>
  <si>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</si>
  <si>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</si>
  <si>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</si>
  <si>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</si>
  <si>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</si>
  <si>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</si>
  <si>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</si>
  <si>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</si>
  <si>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</si>
  <si>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</si>
  <si>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</si>
  <si>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</si>
  <si>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</si>
  <si>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</si>
  <si>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</si>
  <si>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</si>
  <si>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</si>
  <si>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</si>
  <si>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</si>
  <si>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</si>
  <si>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</si>
  <si>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</si>
  <si>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</si>
  <si>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</si>
  <si>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</si>
  <si>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</si>
  <si>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</si>
  <si>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</si>
  <si>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</si>
  <si>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</si>
  <si>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</si>
  <si>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</si>
  <si>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</si>
  <si>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</si>
  <si>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</si>
  <si>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</si>
  <si>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</si>
  <si>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</si>
  <si>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</si>
  <si>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</si>
  <si>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</si>
  <si>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</si>
  <si>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</si>
  <si>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</si>
  <si>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</si>
  <si>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</si>
  <si>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</si>
  <si>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</si>
  <si>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</si>
  <si>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</si>
  <si>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</si>
  <si>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</si>
  <si>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</si>
  <si>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</si>
  <si>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</si>
  <si>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</si>
  <si>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</si>
  <si>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</si>
  <si>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</si>
  <si>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</si>
  <si>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</si>
  <si>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</si>
  <si>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</si>
  <si>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</si>
  <si>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</si>
  <si>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</si>
  <si>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</si>
  <si>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</si>
  <si>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</si>
  <si>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</si>
  <si>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</si>
  <si>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</si>
  <si>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</si>
  <si>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</si>
  <si>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</si>
  <si>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</si>
  <si>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</si>
  <si>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</si>
  <si>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</si>
  <si>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</si>
  <si>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</si>
  <si>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</si>
  <si>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</si>
  <si>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</si>
  <si>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</si>
  <si>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</si>
  <si>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</si>
  <si>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</si>
  <si>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</si>
  <si>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</si>
  <si>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</si>
  <si>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</si>
  <si>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</si>
  <si>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</si>
  <si>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</si>
  <si>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</si>
  <si>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</si>
  <si>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</si>
  <si>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</si>
  <si>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</si>
  <si>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</si>
  <si>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</si>
  <si>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</si>
  <si>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</si>
  <si>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</si>
  <si>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</si>
  <si>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</si>
  <si>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</si>
  <si>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</si>
  <si>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</si>
  <si>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</si>
  <si>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</si>
  <si>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</si>
  <si>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</si>
  <si>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</si>
  <si>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</si>
  <si>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</si>
  <si>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</si>
  <si>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</si>
  <si>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</si>
  <si>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</si>
  <si>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</si>
  <si>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</si>
  <si>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</si>
  <si>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</si>
  <si>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</si>
  <si>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</si>
  <si>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</si>
  <si>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</si>
  <si>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</si>
  <si>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</si>
  <si>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</si>
  <si>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</si>
  <si>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</si>
  <si>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</si>
  <si>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</si>
  <si>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</si>
  <si>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</si>
  <si>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</si>
  <si>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</si>
  <si>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</si>
  <si>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</si>
  <si>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</si>
  <si>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</si>
  <si>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</si>
  <si>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</si>
  <si>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</si>
  <si>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</si>
  <si>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</si>
  <si>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</si>
  <si>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</si>
  <si>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</si>
  <si>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</si>
  <si>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</si>
  <si>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</si>
  <si>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</si>
  <si>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</si>
  <si>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</si>
  <si>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</si>
  <si>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</si>
  <si>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</si>
  <si>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</si>
  <si>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</si>
  <si>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</si>
  <si>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</si>
  <si>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</si>
  <si>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</si>
  <si>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</si>
  <si>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</si>
  <si>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</si>
  <si>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</si>
  <si>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</si>
  <si>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</si>
  <si>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</si>
  <si>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</si>
  <si>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</si>
  <si>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</si>
  <si>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</si>
  <si>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</si>
  <si>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</si>
  <si>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</si>
  <si>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</si>
  <si>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</si>
  <si>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</si>
  <si>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</si>
  <si>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</si>
  <si>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</si>
  <si>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</si>
  <si>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</si>
  <si>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</si>
  <si>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</si>
  <si>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</si>
  <si>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</si>
  <si>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</si>
  <si>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</si>
  <si>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</si>
  <si>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</si>
  <si>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</si>
  <si>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</si>
  <si>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</si>
  <si>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</si>
  <si>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</si>
  <si>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</si>
  <si>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</si>
  <si>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</si>
  <si>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</si>
  <si>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</si>
  <si>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</si>
  <si>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</si>
  <si>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</si>
  <si>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</si>
  <si>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</si>
  <si>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</si>
  <si>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</si>
  <si>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</si>
  <si>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</si>
  <si>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</si>
  <si>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</si>
  <si>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</si>
  <si>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</si>
  <si>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</si>
  <si>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</si>
  <si>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</si>
  <si>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</si>
  <si>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</si>
  <si>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</si>
  <si>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</si>
  <si>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</si>
  <si>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</si>
  <si>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</si>
  <si>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</si>
  <si>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</si>
  <si>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</si>
  <si>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</si>
  <si>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</si>
  <si>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</si>
  <si>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</si>
  <si>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</si>
  <si>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</si>
  <si>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</si>
  <si>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</si>
  <si>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</si>
  <si>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</si>
  <si>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</si>
  <si>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</si>
  <si>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</si>
  <si>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</si>
  <si>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</si>
  <si>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</si>
  <si>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</si>
  <si>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</si>
  <si>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</si>
  <si>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</si>
  <si>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</si>
  <si>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</si>
  <si>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</si>
  <si>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</si>
  <si>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</si>
  <si>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</si>
  <si>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</si>
  <si>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</si>
  <si>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</si>
  <si>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</si>
  <si>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</si>
  <si>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</si>
  <si>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</si>
  <si>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</si>
  <si>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</si>
  <si>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</si>
  <si>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</si>
  <si>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</si>
  <si>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</si>
  <si>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</si>
  <si>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</si>
  <si>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</si>
  <si>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</si>
  <si>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</si>
  <si>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</si>
  <si>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</si>
  <si>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</si>
  <si>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</si>
  <si>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</si>
  <si>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</si>
  <si>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</si>
  <si>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</si>
  <si>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</si>
  <si>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</si>
  <si>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</si>
  <si>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</si>
  <si>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</si>
  <si>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</si>
  <si>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</si>
  <si>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</si>
  <si>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</si>
  <si>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</si>
  <si>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</si>
  <si>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</si>
  <si>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</si>
  <si>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</si>
  <si>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</si>
  <si>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</si>
  <si>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</si>
  <si>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</si>
  <si>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</si>
  <si>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</si>
  <si>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</si>
  <si>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</si>
  <si>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</si>
  <si>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</si>
  <si>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</si>
  <si>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</si>
  <si>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</si>
  <si>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</si>
  <si>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</si>
  <si>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</si>
  <si>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</si>
  <si>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</si>
  <si>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</si>
  <si>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</si>
  <si>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</si>
  <si>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</si>
  <si>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</si>
  <si>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</si>
  <si>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</si>
  <si>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</si>
  <si>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</si>
  <si>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</si>
  <si>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</si>
  <si>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</si>
  <si>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</si>
  <si>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</si>
  <si>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</si>
  <si>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</si>
  <si>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</si>
  <si>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</si>
  <si>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</si>
  <si>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</si>
  <si>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</si>
  <si>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</si>
  <si>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</si>
  <si>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</si>
  <si>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</si>
  <si>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</si>
  <si>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</si>
  <si>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</si>
  <si>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</si>
  <si>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</si>
  <si>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</si>
  <si>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</si>
  <si>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</si>
  <si>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</si>
  <si>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</si>
  <si>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</si>
  <si>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</si>
  <si>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</si>
  <si>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</si>
  <si>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</si>
  <si>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</si>
  <si>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</si>
  <si>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</si>
  <si>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</si>
  <si>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</si>
  <si>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</si>
  <si>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</si>
  <si>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</si>
  <si>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</si>
  <si>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</si>
  <si>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</si>
  <si>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</si>
  <si>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</si>
  <si>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</si>
  <si>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</si>
  <si>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</si>
  <si>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</si>
  <si>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</si>
  <si>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</si>
  <si>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</si>
  <si>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</si>
  <si>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</si>
  <si>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</si>
  <si>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</si>
  <si>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</si>
  <si>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</si>
  <si>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</si>
  <si>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</si>
  <si>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</si>
  <si>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</si>
  <si>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</si>
  <si>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</si>
  <si>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</si>
  <si>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</si>
  <si>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</si>
  <si>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</si>
  <si>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</si>
  <si>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</si>
  <si>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</si>
  <si>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</si>
  <si>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</si>
  <si>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</si>
  <si>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</si>
  <si>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</si>
  <si>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</si>
  <si>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</si>
  <si>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</si>
  <si>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</si>
  <si>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</si>
  <si>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</si>
  <si>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</si>
  <si>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</si>
  <si>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</si>
  <si>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</si>
  <si>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</si>
  <si>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</si>
  <si>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</si>
  <si>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</si>
  <si>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</si>
  <si>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</si>
  <si>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</si>
  <si>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</si>
  <si>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</si>
  <si>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</si>
  <si>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</si>
  <si>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</si>
  <si>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</si>
  <si>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</si>
  <si>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</si>
  <si>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</si>
  <si>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</si>
  <si>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</si>
  <si>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</si>
  <si>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</si>
  <si>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</si>
  <si>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</si>
  <si>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</si>
  <si>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</si>
  <si>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</si>
  <si>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</si>
  <si>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</si>
  <si>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</si>
  <si>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</si>
  <si>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</si>
  <si>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</si>
  <si>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</si>
  <si>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</si>
  <si>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</si>
  <si>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</si>
  <si>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</si>
  <si>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</si>
  <si>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</si>
  <si>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</si>
  <si>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</si>
  <si>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</si>
  <si>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</si>
  <si>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</si>
  <si>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</si>
  <si>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</si>
  <si>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</si>
  <si>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</si>
  <si>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</si>
  <si>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</si>
  <si>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</si>
  <si>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</si>
  <si>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</si>
  <si>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</si>
  <si>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</si>
  <si>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</si>
  <si>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</si>
  <si>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</si>
  <si>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</si>
  <si>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</si>
  <si>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</si>
  <si>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</si>
  <si>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</si>
  <si>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</si>
  <si>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</si>
  <si>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</si>
  <si>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</si>
  <si>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</si>
  <si>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</si>
  <si>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</si>
  <si>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</si>
  <si>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</si>
  <si>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</si>
  <si>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</si>
  <si>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</si>
  <si>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</si>
  <si>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</si>
  <si>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</si>
  <si>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</si>
  <si>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</si>
  <si>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</si>
  <si>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</si>
  <si>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</si>
  <si>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</si>
  <si>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</si>
  <si>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</si>
  <si>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</si>
  <si>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</si>
  <si>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</si>
  <si>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</si>
  <si>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</si>
  <si>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</si>
  <si>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</si>
  <si>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</si>
  <si>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</si>
  <si>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</si>
  <si>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</si>
  <si>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</si>
  <si>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</si>
  <si>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</si>
  <si>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</si>
  <si>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</si>
  <si>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</si>
  <si>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</si>
  <si>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</si>
  <si>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</si>
  <si>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</si>
  <si>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</si>
  <si>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</si>
  <si>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</si>
  <si>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</si>
  <si>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</si>
  <si>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</si>
  <si>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</si>
  <si>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</si>
  <si>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</si>
  <si>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</si>
  <si>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</si>
  <si>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</si>
  <si>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</si>
  <si>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</si>
  <si>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</si>
  <si>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</si>
  <si>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</si>
  <si>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</si>
  <si>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</si>
  <si>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</si>
  <si>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</si>
  <si>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</si>
  <si>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</si>
  <si>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</si>
  <si>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</si>
  <si>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</si>
  <si>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</si>
  <si>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</si>
  <si>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</si>
  <si>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</si>
  <si>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</si>
  <si>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</si>
  <si>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</si>
  <si>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</si>
  <si>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</si>
  <si>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</si>
  <si>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</si>
  <si>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</si>
  <si>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</si>
  <si>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</si>
  <si>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</si>
  <si>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</si>
  <si>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</si>
  <si>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</si>
  <si>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</si>
  <si>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</si>
  <si>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</si>
  <si>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</si>
  <si>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</si>
  <si>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</si>
  <si>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</si>
  <si>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</si>
  <si>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</si>
  <si>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</si>
  <si>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</si>
  <si>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</si>
  <si>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</si>
  <si>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</si>
  <si>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</si>
  <si>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</si>
  <si>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</si>
  <si>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</si>
  <si>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</si>
  <si>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</si>
  <si>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</si>
  <si>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</si>
  <si>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</si>
  <si>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</si>
  <si>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</si>
  <si>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</si>
  <si>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</si>
  <si>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</si>
  <si>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</si>
  <si>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</si>
  <si>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</si>
  <si>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</si>
  <si>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</si>
  <si>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</si>
  <si>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</si>
  <si>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</si>
  <si>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</si>
  <si>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</si>
  <si>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</si>
  <si>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</si>
  <si>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</si>
  <si>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</si>
  <si>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</si>
  <si>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</si>
  <si>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</si>
  <si>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</si>
  <si>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</si>
  <si>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</si>
  <si>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</si>
  <si>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</si>
  <si>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</si>
  <si>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</si>
  <si>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</si>
  <si>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</si>
  <si>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</si>
  <si>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</si>
  <si>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</si>
  <si>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</si>
  <si>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</si>
  <si>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</si>
  <si>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</si>
  <si>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</si>
  <si>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</si>
  <si>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</si>
  <si>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</si>
  <si>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</si>
  <si>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</si>
  <si>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</si>
  <si>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</si>
  <si>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</si>
  <si>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</si>
  <si>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</si>
  <si>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</si>
  <si>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</si>
  <si>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</si>
  <si>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</si>
  <si>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</si>
  <si>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</si>
  <si>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</si>
  <si>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</si>
  <si>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</si>
  <si>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</si>
  <si>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</si>
  <si>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</si>
  <si>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</si>
  <si>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</si>
  <si>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</si>
  <si>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</si>
  <si>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</si>
  <si>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</si>
  <si>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</si>
  <si>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</si>
  <si>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</si>
  <si>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</si>
  <si>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</si>
  <si>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</si>
  <si>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</si>
  <si>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</si>
  <si>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</si>
  <si>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</si>
  <si>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</si>
  <si>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</si>
  <si>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</si>
  <si>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</si>
  <si>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</si>
  <si>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</si>
  <si>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</si>
  <si>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</si>
  <si>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</si>
  <si>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</si>
  <si>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</si>
  <si>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</si>
  <si>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</si>
  <si>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</si>
  <si>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</si>
  <si>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</si>
  <si>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</si>
  <si>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</si>
  <si>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</si>
  <si>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</si>
  <si>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</si>
  <si>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</si>
  <si>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</si>
  <si>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</si>
  <si>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</si>
  <si>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</si>
  <si>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</si>
  <si>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</si>
  <si>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</si>
  <si>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</si>
  <si>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</si>
  <si>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</si>
  <si>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</si>
  <si>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</si>
  <si>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</si>
  <si>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</si>
  <si>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</si>
  <si>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</si>
  <si>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</si>
  <si>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</si>
  <si>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</si>
  <si>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</si>
  <si>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</si>
  <si>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</si>
  <si>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</si>
  <si>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</si>
  <si>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</si>
  <si>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</si>
  <si>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</si>
  <si>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</si>
  <si>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</si>
  <si>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</si>
  <si>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</si>
  <si>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</si>
  <si>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</si>
  <si>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</si>
  <si>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</si>
  <si>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</si>
  <si>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</si>
  <si>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</si>
  <si>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</si>
  <si>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</si>
  <si>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</si>
  <si>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</si>
  <si>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</si>
  <si>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</si>
  <si>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</si>
  <si>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</si>
  <si>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</si>
  <si>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</si>
  <si>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</si>
  <si>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</si>
  <si>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</si>
  <si>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</si>
  <si>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</si>
  <si>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</si>
  <si>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</si>
  <si>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</si>
  <si>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</si>
  <si>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</si>
  <si>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</si>
  <si>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</si>
  <si>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</si>
  <si>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</si>
  <si>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</si>
  <si>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</si>
  <si>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</si>
  <si>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</si>
  <si>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</si>
  <si>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</si>
  <si>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</si>
  <si>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</si>
  <si>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</si>
  <si>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</si>
  <si>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</si>
  <si>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</si>
  <si>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</si>
  <si>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</si>
  <si>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</si>
  <si>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</si>
  <si>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</si>
  <si>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</si>
  <si>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</si>
  <si>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</si>
  <si>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</si>
  <si>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</si>
  <si>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</si>
  <si>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</si>
  <si>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</si>
  <si>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</si>
  <si>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</si>
  <si>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</si>
  <si>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</si>
  <si>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</si>
  <si>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</si>
  <si>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</si>
  <si>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</si>
  <si>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</si>
  <si>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</si>
  <si>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</si>
  <si>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</si>
  <si>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</si>
  <si>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</si>
  <si>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</si>
  <si>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</si>
  <si>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</si>
  <si>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</si>
  <si>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</si>
  <si>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</si>
  <si>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</si>
  <si>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</si>
  <si>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</si>
  <si>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</si>
  <si>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</si>
  <si>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</si>
  <si>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</si>
  <si>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</si>
  <si>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</si>
  <si>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</si>
  <si>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</si>
  <si>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</si>
  <si>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</si>
  <si>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</si>
  <si>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</si>
  <si>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</si>
  <si>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</si>
  <si>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</si>
  <si>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</si>
  <si>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</si>
  <si>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</si>
  <si>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</si>
  <si>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</si>
  <si>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</si>
  <si>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</si>
  <si>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</si>
  <si>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</si>
  <si>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</si>
  <si>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</si>
  <si>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</si>
  <si>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</si>
  <si>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</si>
  <si>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</si>
  <si>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</si>
  <si>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</si>
  <si>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</si>
  <si>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</si>
  <si>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</si>
  <si>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</si>
  <si>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</si>
  <si>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</si>
  <si>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</si>
  <si>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</si>
  <si>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</si>
  <si>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</si>
  <si>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</si>
  <si>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</si>
  <si>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</si>
  <si>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</si>
  <si>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</si>
  <si>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</si>
  <si>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</si>
  <si>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</si>
  <si>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</si>
  <si>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</si>
  <si>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</si>
  <si>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</si>
  <si>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</si>
  <si>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</si>
  <si>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</si>
  <si>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</si>
  <si>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</si>
  <si>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</si>
  <si>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</si>
  <si>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</si>
  <si>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</si>
  <si>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</si>
  <si>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</si>
  <si>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</si>
  <si>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</si>
  <si>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</si>
  <si>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</si>
  <si>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</si>
  <si>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</si>
  <si>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</si>
  <si>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</si>
  <si>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</si>
  <si>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</si>
  <si>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</si>
  <si>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</si>
  <si>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</si>
  <si>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</si>
  <si>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</si>
  <si>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</si>
  <si>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</si>
  <si>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</si>
  <si>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</si>
  <si>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</si>
  <si>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</si>
  <si>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</si>
  <si>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</si>
  <si>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</si>
  <si>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</si>
  <si>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</si>
  <si>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</si>
  <si>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</si>
  <si>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</si>
  <si>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</si>
  <si>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</si>
  <si>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</si>
  <si>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</si>
  <si>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</si>
  <si>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</si>
  <si>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</si>
  <si>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</si>
  <si>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</si>
  <si>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</si>
  <si>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</si>
  <si>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</si>
  <si>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</si>
  <si>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</si>
  <si>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</si>
  <si>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</si>
  <si>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</si>
  <si>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</si>
  <si>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</si>
  <si>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</si>
  <si>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</si>
  <si>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</si>
  <si>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</si>
  <si>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</si>
  <si>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</si>
  <si>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</si>
  <si>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</si>
  <si>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</si>
  <si>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</si>
  <si>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</si>
  <si>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</si>
  <si>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</si>
  <si>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</si>
  <si>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</si>
  <si>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</si>
  <si>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</si>
  <si>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</si>
  <si>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</si>
  <si>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</si>
  <si>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</si>
  <si>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</si>
  <si>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</si>
  <si>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</si>
  <si>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</si>
  <si>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</si>
  <si>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</si>
  <si>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</si>
  <si>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</si>
  <si>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</si>
  <si>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</si>
  <si>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</si>
  <si>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</si>
  <si>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</si>
  <si>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</si>
  <si>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</si>
  <si>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</si>
  <si>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</si>
  <si>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</si>
  <si>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</si>
  <si>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</si>
  <si>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</si>
  <si>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</si>
  <si>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</si>
  <si>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</si>
  <si>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</si>
  <si>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</si>
  <si>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</si>
  <si>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</si>
  <si>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</si>
  <si>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</si>
  <si>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</si>
  <si>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</si>
  <si>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</si>
  <si>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</si>
  <si>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</si>
  <si>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</si>
  <si>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</si>
  <si>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</si>
  <si>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</si>
  <si>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</si>
  <si>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</si>
  <si>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</si>
  <si>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</si>
  <si>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</si>
  <si>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</si>
  <si>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</si>
  <si>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</si>
  <si>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</si>
  <si>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</si>
  <si>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</si>
  <si>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</si>
  <si>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</si>
  <si>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</si>
  <si>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</si>
  <si>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</si>
  <si>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</si>
  <si>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</si>
  <si>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</si>
  <si>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</si>
  <si>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</si>
  <si>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</si>
  <si>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</si>
  <si>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</si>
  <si>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</si>
  <si>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</si>
  <si>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</si>
  <si>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</si>
  <si>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</si>
  <si>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</si>
  <si>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</si>
  <si>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</si>
  <si>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</si>
  <si>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</si>
  <si>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</si>
  <si>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</si>
  <si>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</si>
  <si>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</si>
  <si>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</si>
  <si>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</si>
  <si>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</si>
  <si>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</si>
  <si>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</si>
  <si>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</si>
  <si>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</si>
  <si>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</si>
  <si>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</si>
  <si>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</si>
  <si>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</si>
  <si>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</si>
  <si>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</si>
  <si>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</si>
  <si>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</si>
  <si>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</si>
  <si>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</si>
  <si>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</si>
  <si>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</si>
  <si>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</si>
  <si>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</si>
  <si>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</si>
  <si>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</si>
  <si>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</si>
  <si>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</si>
  <si>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</si>
  <si>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</si>
  <si>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</si>
  <si>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</si>
  <si>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</si>
  <si>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</si>
  <si>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</si>
  <si>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</si>
  <si>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</si>
  <si>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</si>
  <si>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</si>
  <si>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</si>
  <si>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</si>
  <si>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</si>
  <si>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</si>
  <si>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</si>
  <si>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</si>
  <si>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</si>
  <si>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</si>
  <si>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</si>
  <si>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</si>
  <si>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</si>
  <si>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</si>
  <si>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</si>
  <si>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</si>
  <si>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</si>
  <si>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</si>
  <si>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</si>
  <si>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</si>
  <si>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</si>
  <si>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</si>
  <si>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</si>
  <si>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</si>
  <si>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</si>
  <si>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</si>
  <si>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</si>
  <si>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</si>
  <si>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</si>
  <si>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</si>
  <si>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</si>
  <si>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</si>
  <si>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</si>
  <si>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</si>
  <si>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</si>
  <si>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</si>
  <si>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</si>
  <si>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</si>
  <si>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</si>
  <si>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</si>
  <si>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</si>
  <si>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</si>
  <si>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</si>
  <si>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</si>
  <si>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</si>
  <si>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</si>
  <si>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</si>
  <si>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</si>
  <si>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</si>
  <si>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</si>
  <si>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</si>
  <si>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</si>
  <si>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</si>
  <si>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</si>
  <si>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</si>
  <si>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</si>
  <si>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</si>
  <si>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</si>
  <si>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</si>
  <si>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</si>
  <si>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</si>
  <si>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</si>
  <si>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</si>
  <si>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</si>
  <si>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</si>
  <si>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</si>
  <si>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</si>
  <si>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</si>
  <si>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</si>
  <si>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</si>
  <si>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</si>
  <si>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</si>
  <si>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</si>
  <si>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</si>
  <si>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</si>
  <si>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</si>
  <si>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</si>
  <si>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</si>
  <si>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</si>
  <si>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</si>
  <si>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</si>
  <si>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</si>
  <si>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</si>
  <si>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</si>
  <si>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</si>
  <si>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</si>
  <si>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</si>
  <si>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</si>
  <si>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</si>
  <si>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</si>
  <si>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</si>
  <si>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</si>
  <si>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</si>
  <si>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</si>
  <si>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</si>
  <si>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</si>
  <si>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</si>
  <si>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</si>
  <si>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</si>
  <si>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</si>
  <si>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</si>
  <si>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</si>
  <si>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</si>
  <si>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</si>
  <si>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</si>
  <si>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</si>
  <si>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</si>
  <si>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</si>
  <si>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</si>
  <si>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</si>
  <si>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</si>
  <si>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</si>
  <si>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</si>
  <si>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</si>
  <si>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</si>
  <si>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</si>
  <si>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</si>
  <si>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</si>
  <si>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</si>
  <si>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</si>
  <si>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</si>
  <si>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</si>
  <si>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</si>
  <si>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</si>
  <si>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</si>
  <si>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</si>
  <si>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</si>
  <si>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</si>
  <si>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</si>
  <si>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</si>
  <si>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</si>
  <si>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</si>
  <si>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</si>
  <si>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</si>
  <si>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</si>
  <si>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</si>
  <si>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</si>
  <si>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</si>
  <si>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</si>
  <si>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</si>
  <si>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</si>
  <si>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</si>
  <si>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</si>
  <si>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</si>
  <si>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</si>
  <si>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</si>
  <si>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</si>
  <si>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</si>
  <si>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</si>
  <si>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</si>
  <si>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</si>
  <si>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</si>
  <si>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</si>
  <si>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</si>
  <si>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</si>
  <si>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</si>
  <si>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</si>
  <si>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</si>
  <si>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</si>
  <si>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</si>
  <si>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</si>
  <si>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</si>
  <si>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</si>
  <si>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</si>
  <si>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</si>
  <si>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</si>
  <si>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</si>
  <si>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</si>
  <si>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</si>
  <si>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</si>
  <si>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</si>
  <si>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</si>
  <si>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</si>
  <si>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</si>
  <si>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</si>
  <si>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</si>
  <si>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</si>
  <si>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</si>
  <si>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</si>
  <si>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</si>
  <si>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</si>
  <si>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</si>
  <si>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</si>
  <si>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</si>
  <si>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</si>
  <si>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</si>
  <si>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</si>
  <si>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</si>
  <si>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</si>
  <si>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</si>
  <si>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</si>
  <si>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</si>
  <si>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</si>
  <si>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</si>
  <si>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</si>
  <si>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</si>
  <si>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</si>
  <si>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</si>
  <si>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</si>
  <si>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</si>
  <si>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</si>
  <si>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</si>
  <si>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</si>
  <si>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</si>
  <si>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</si>
  <si>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</si>
  <si>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</si>
  <si>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</si>
  <si>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</si>
  <si>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</si>
  <si>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</si>
  <si>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</si>
  <si>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</si>
  <si>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</si>
  <si>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</si>
  <si>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</si>
  <si>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</si>
  <si>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</si>
  <si>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</si>
  <si>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</si>
  <si>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</si>
  <si>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</si>
  <si>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</si>
  <si>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</si>
  <si>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</si>
  <si>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</si>
  <si>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</si>
  <si>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</si>
  <si>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</si>
  <si>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</si>
  <si>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</si>
  <si>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</si>
  <si>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</si>
  <si>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</si>
  <si>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</si>
  <si>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</si>
  <si>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</si>
  <si>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</si>
  <si>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</si>
  <si>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</si>
  <si>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</si>
  <si>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</si>
  <si>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</si>
  <si>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</si>
  <si>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</si>
  <si>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</si>
  <si>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</si>
  <si>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</si>
  <si>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</si>
  <si>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</si>
  <si>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</si>
  <si>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</si>
  <si>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</si>
  <si>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</si>
  <si>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</si>
  <si>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</si>
  <si>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</si>
  <si>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</si>
  <si>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</si>
  <si>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</si>
  <si>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</si>
  <si>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</si>
  <si>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</si>
  <si>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</si>
  <si>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</si>
  <si>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</si>
  <si>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</si>
  <si>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</si>
  <si>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</si>
  <si>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</si>
  <si>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</si>
  <si>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</si>
  <si>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</si>
  <si>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</si>
  <si>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</si>
  <si>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</si>
  <si>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</si>
  <si>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</si>
  <si>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</si>
  <si>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</si>
  <si>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</si>
  <si>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</si>
  <si>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</si>
  <si>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</si>
  <si>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</si>
  <si>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</si>
  <si>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</si>
  <si>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</si>
  <si>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</si>
  <si>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</si>
  <si>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</si>
  <si>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</si>
  <si>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</si>
  <si>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</si>
  <si>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</si>
  <si>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</si>
  <si>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</si>
  <si>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</si>
  <si>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</si>
  <si>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</si>
  <si>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</si>
  <si>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</si>
  <si>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</si>
  <si>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</si>
  <si>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</si>
  <si>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</si>
  <si>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</si>
  <si>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</si>
  <si>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</si>
  <si>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</si>
  <si>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</si>
  <si>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</si>
  <si>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</si>
  <si>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</si>
  <si>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</si>
  <si>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</si>
  <si>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</si>
  <si>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</si>
  <si>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</si>
  <si>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</si>
  <si>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</si>
  <si>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</si>
  <si>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</si>
  <si>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</si>
  <si>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</si>
  <si>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</si>
  <si>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</si>
  <si>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</si>
  <si>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</si>
  <si>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</si>
  <si>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</si>
  <si>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</si>
  <si>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</si>
  <si>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</si>
  <si>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</si>
  <si>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</si>
  <si>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</si>
  <si>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</si>
  <si>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</si>
  <si>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</si>
  <si>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</si>
  <si>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</si>
  <si>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</si>
  <si>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</si>
  <si>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</si>
  <si>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</si>
  <si>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</si>
  <si>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</si>
  <si>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</si>
  <si>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</si>
  <si>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</si>
  <si>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</si>
  <si>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</si>
  <si>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</si>
  <si>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</si>
  <si>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</si>
  <si>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</si>
  <si>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</si>
  <si>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</si>
  <si>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</si>
  <si>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</si>
  <si>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</si>
  <si>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</si>
  <si>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</si>
  <si>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</si>
  <si>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</si>
  <si>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</si>
  <si>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</si>
  <si>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</si>
  <si>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</si>
  <si>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</si>
  <si>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</si>
  <si>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</si>
  <si>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</si>
  <si>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</si>
  <si>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</si>
  <si>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</si>
  <si>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</si>
  <si>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</si>
  <si>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</si>
  <si>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</si>
  <si>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</si>
  <si>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</si>
  <si>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</si>
  <si>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</si>
  <si>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</si>
  <si>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</si>
  <si>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</si>
  <si>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</si>
  <si>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</si>
  <si>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</si>
  <si>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</si>
  <si>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</si>
  <si>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</si>
  <si>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</si>
  <si>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</si>
  <si>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</si>
  <si>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</si>
  <si>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</si>
  <si>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</si>
  <si>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</si>
  <si>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</si>
  <si>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</si>
  <si>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</si>
  <si>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</si>
  <si>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</si>
  <si>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</si>
  <si>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</si>
  <si>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</si>
  <si>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</si>
  <si>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</si>
  <si>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</si>
  <si>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</si>
  <si>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</si>
  <si>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</si>
  <si>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</si>
  <si>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</si>
  <si>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</si>
  <si>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</si>
  <si>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</si>
  <si>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</si>
  <si>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</si>
  <si>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</si>
  <si>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</si>
  <si>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</si>
  <si>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</si>
  <si>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</si>
  <si>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</si>
  <si>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</si>
  <si>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</si>
  <si>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</si>
  <si>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</si>
  <si>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</si>
  <si>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</si>
  <si>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</si>
  <si>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</si>
  <si>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</si>
  <si>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</si>
  <si>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</si>
  <si>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</si>
  <si>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</si>
  <si>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</si>
  <si>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</si>
  <si>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</si>
  <si>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</si>
  <si>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</si>
  <si>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</si>
  <si>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</si>
  <si>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</si>
  <si>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</si>
  <si>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</si>
  <si>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</si>
  <si>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</si>
  <si>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</si>
  <si>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</si>
  <si>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</si>
  <si>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</si>
  <si>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</si>
  <si>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</si>
  <si>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</si>
  <si>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</si>
  <si>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</si>
  <si>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</si>
  <si>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</si>
  <si>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</si>
  <si>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</si>
  <si>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</si>
  <si>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</si>
  <si>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</si>
  <si>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</si>
  <si>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</si>
  <si>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</si>
  <si>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</si>
  <si>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</si>
  <si>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</si>
  <si>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</si>
  <si>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</si>
  <si>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</si>
  <si>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</si>
  <si>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</si>
  <si>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</si>
  <si>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</si>
  <si>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</si>
  <si>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</si>
  <si>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</si>
  <si>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</si>
  <si>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</si>
  <si>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</si>
  <si>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</si>
  <si>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</si>
  <si>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</si>
  <si>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</si>
  <si>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</si>
  <si>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</si>
  <si>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</si>
  <si>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</si>
  <si>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</si>
  <si>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</si>
  <si>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</si>
  <si>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</si>
  <si>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</si>
  <si>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</si>
  <si>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</si>
  <si>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</si>
  <si>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</si>
  <si>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</si>
  <si>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</si>
  <si>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</si>
  <si>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</si>
  <si>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</si>
  <si>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</si>
  <si>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</si>
  <si>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</si>
  <si>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</si>
  <si>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</si>
  <si>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</si>
  <si>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</si>
  <si>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</si>
  <si>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</si>
  <si>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</si>
  <si>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</si>
  <si>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</si>
  <si>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</si>
  <si>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</si>
  <si>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</si>
  <si>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</si>
  <si>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</si>
  <si>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</si>
  <si>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</si>
  <si>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</si>
  <si>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</si>
  <si>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</si>
  <si>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</si>
  <si>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</si>
  <si>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</si>
  <si>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</si>
  <si>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</si>
  <si>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</si>
  <si>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</si>
  <si>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</si>
  <si>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</si>
  <si>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</si>
  <si>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</si>
  <si>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</si>
  <si>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</si>
  <si>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</si>
  <si>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</si>
  <si>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</si>
  <si>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</si>
  <si>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</si>
  <si>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</si>
  <si>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</si>
  <si>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</si>
  <si>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</si>
  <si>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</si>
  <si>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</si>
  <si>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</si>
  <si>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</si>
  <si>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</si>
  <si>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</si>
  <si>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</si>
  <si>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</si>
  <si>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</si>
  <si>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</si>
  <si>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</si>
  <si>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</si>
  <si>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</si>
  <si>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</si>
  <si>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</si>
  <si>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</si>
  <si>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</si>
  <si>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</si>
  <si>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</si>
  <si>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</si>
  <si>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</si>
  <si>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</si>
  <si>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</si>
  <si>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</si>
  <si>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</si>
  <si>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</si>
  <si>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</si>
  <si>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</si>
  <si>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</si>
  <si>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</si>
  <si>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</si>
  <si>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</si>
  <si>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</si>
  <si>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</si>
  <si>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</si>
  <si>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</si>
  <si>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</si>
  <si>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</si>
  <si>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</si>
  <si>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</si>
  <si>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</si>
  <si>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</si>
  <si>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</si>
  <si>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</si>
  <si>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</si>
  <si>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</si>
  <si>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</si>
  <si>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</si>
  <si>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</si>
  <si>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</si>
  <si>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</si>
  <si>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</si>
  <si>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</si>
  <si>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</si>
  <si>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</si>
  <si>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</si>
  <si>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</si>
  <si>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</si>
  <si>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</si>
  <si>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</si>
  <si>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</si>
  <si>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</si>
  <si>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</si>
  <si>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</si>
  <si>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</si>
  <si>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</si>
  <si>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</si>
  <si>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</si>
  <si>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</si>
  <si>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</si>
  <si>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</si>
  <si>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</si>
  <si>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</si>
  <si>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</si>
  <si>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</si>
  <si>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</si>
  <si>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</si>
  <si>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</si>
  <si>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</si>
  <si>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</si>
  <si>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</si>
  <si>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</si>
  <si>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</si>
  <si>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</si>
  <si>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</si>
  <si>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</si>
  <si>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</si>
  <si>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</si>
  <si>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</si>
  <si>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</si>
  <si>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</si>
  <si>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</si>
  <si>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</si>
  <si>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</si>
  <si>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</si>
  <si>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</si>
  <si>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</si>
  <si>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</si>
  <si>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</si>
  <si>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</si>
  <si>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</si>
  <si>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</si>
  <si>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</si>
  <si>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</si>
  <si>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</si>
  <si>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</si>
  <si>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</si>
  <si>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</si>
  <si>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</si>
  <si>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</si>
  <si>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</si>
  <si>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</si>
  <si>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</si>
  <si>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</si>
  <si>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</si>
  <si>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</si>
  <si>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</si>
  <si>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</si>
  <si>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</si>
  <si>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</si>
  <si>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</si>
  <si>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</si>
  <si>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</si>
  <si>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</si>
  <si>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</si>
  <si>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</si>
  <si>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</si>
  <si>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</si>
  <si>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</si>
  <si>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</si>
  <si>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</si>
  <si>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</si>
  <si>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</si>
  <si>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</si>
  <si>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</si>
  <si>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</si>
  <si>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</si>
  <si>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</si>
  <si>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</si>
  <si>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</si>
  <si>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</si>
  <si>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</si>
  <si>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</si>
  <si>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</si>
  <si>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</si>
  <si>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</si>
  <si>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</si>
  <si>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</si>
  <si>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</si>
  <si>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</si>
  <si>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</si>
  <si>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</si>
  <si>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</si>
  <si>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</si>
  <si>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</si>
  <si>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</si>
  <si>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</si>
  <si>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</si>
  <si>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</si>
  <si>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</si>
  <si>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</si>
  <si>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</si>
  <si>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</si>
  <si>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</si>
  <si>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</si>
  <si>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</si>
  <si>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</si>
  <si>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</si>
  <si>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</si>
  <si>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</si>
  <si>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</si>
  <si>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</si>
  <si>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</si>
  <si>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</si>
  <si>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</si>
  <si>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</si>
  <si>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</si>
  <si>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</si>
  <si>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</si>
  <si>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</si>
  <si>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</si>
  <si>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</si>
  <si>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</si>
  <si>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</si>
  <si>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</si>
  <si>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</si>
  <si>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</si>
  <si>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</si>
  <si>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</si>
  <si>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</si>
  <si>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</si>
  <si>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</si>
  <si>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</si>
  <si>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</si>
  <si>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</si>
  <si>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</si>
  <si>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</si>
  <si>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</si>
  <si>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</si>
  <si>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</si>
  <si>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</si>
  <si>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</si>
  <si>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</si>
  <si>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</si>
  <si>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</si>
  <si>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</si>
  <si>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</si>
  <si>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</si>
  <si>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</si>
  <si>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</si>
  <si>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</si>
  <si>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</si>
  <si>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</si>
  <si>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</si>
  <si>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</si>
  <si>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</si>
  <si>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</si>
  <si>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</si>
  <si>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</si>
  <si>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</si>
  <si>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</si>
  <si>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</si>
  <si>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</si>
  <si>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</si>
  <si>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</si>
  <si>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</si>
  <si>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</si>
  <si>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</si>
  <si>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</si>
  <si>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</si>
  <si>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</si>
  <si>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</si>
  <si>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</si>
  <si>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</si>
  <si>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</si>
  <si>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</si>
  <si>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</si>
  <si>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</si>
  <si>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</si>
  <si>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</si>
  <si>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</si>
  <si>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</si>
  <si>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</si>
  <si>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</si>
  <si>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</si>
  <si>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</si>
  <si>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</si>
  <si>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</si>
  <si>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</si>
  <si>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</si>
  <si>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</si>
  <si>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</si>
  <si>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</si>
  <si>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</si>
  <si>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</si>
  <si>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</si>
  <si>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</si>
  <si>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</si>
  <si>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</si>
  <si>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</si>
  <si>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</si>
  <si>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</si>
  <si>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</si>
  <si>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</si>
  <si>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</si>
  <si>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</si>
  <si>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</si>
  <si>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</si>
  <si>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</si>
  <si>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</si>
  <si>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</si>
  <si>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</si>
  <si>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</si>
  <si>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</si>
  <si>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</si>
  <si>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</si>
  <si>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</si>
  <si>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</si>
  <si>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</si>
  <si>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</si>
  <si>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</si>
  <si>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</si>
  <si>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</si>
  <si>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</si>
  <si>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</si>
  <si>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</si>
  <si>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</si>
  <si>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</si>
  <si>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</si>
  <si>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</si>
  <si>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</si>
  <si>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</si>
  <si>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</si>
  <si>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</si>
  <si>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</si>
  <si>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</si>
  <si>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</si>
  <si>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</si>
  <si>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</si>
  <si>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</si>
  <si>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</si>
  <si>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</si>
  <si>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</si>
  <si>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</si>
  <si>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</si>
  <si>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</si>
  <si>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</si>
  <si>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</si>
  <si>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</si>
  <si>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</si>
  <si>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</si>
  <si>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</si>
  <si>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</si>
  <si>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</si>
  <si>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</si>
  <si>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</si>
  <si>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</si>
  <si>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</si>
  <si>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</si>
  <si>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</si>
  <si>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</si>
  <si>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</si>
  <si>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</si>
  <si>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</si>
  <si>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</si>
  <si>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</si>
  <si>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</si>
  <si>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</si>
  <si>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</si>
  <si>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</si>
  <si>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</si>
  <si>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</si>
  <si>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</si>
  <si>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</si>
  <si>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</si>
  <si>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</si>
  <si>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</si>
  <si>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</si>
  <si>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</si>
  <si>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</si>
  <si>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</si>
  <si>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</si>
  <si>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</si>
  <si>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</si>
  <si>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</si>
  <si>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</si>
  <si>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</si>
  <si>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</si>
  <si>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</si>
  <si>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</si>
  <si>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</si>
  <si>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</si>
  <si>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</si>
  <si>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</si>
  <si>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</si>
  <si>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</si>
  <si>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</si>
  <si>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</si>
  <si>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</si>
  <si>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</si>
  <si>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</si>
  <si>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</si>
  <si>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</si>
  <si>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</si>
  <si>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</si>
  <si>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</si>
  <si>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</si>
  <si>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</si>
  <si>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</si>
  <si>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</si>
  <si>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</si>
  <si>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</si>
  <si>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</si>
  <si>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</si>
  <si>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</si>
  <si>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</si>
  <si>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</si>
  <si>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</si>
  <si>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</si>
  <si>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</si>
  <si>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</si>
  <si>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</si>
  <si>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</si>
  <si>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</si>
  <si>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</si>
  <si>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</si>
  <si>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</si>
  <si>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</si>
  <si>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</si>
  <si>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</si>
  <si>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</si>
  <si>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</si>
  <si>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</si>
  <si>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</si>
  <si>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</si>
  <si>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</si>
  <si>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</si>
  <si>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</si>
  <si>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</si>
  <si>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</si>
  <si>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</si>
  <si>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</si>
  <si>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</si>
  <si>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</si>
  <si>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</si>
  <si>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</si>
  <si>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</si>
  <si>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</si>
  <si>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</si>
  <si>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</si>
  <si>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</si>
  <si>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</si>
  <si>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</si>
  <si>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</si>
  <si>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</si>
  <si>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</si>
  <si>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</si>
  <si>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</si>
  <si>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</si>
  <si>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</si>
  <si>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</si>
  <si>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</si>
  <si>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</si>
  <si>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</si>
  <si>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</si>
  <si>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</si>
  <si>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</si>
  <si>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</si>
  <si>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</si>
  <si>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</si>
  <si>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</si>
  <si>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</si>
  <si>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</si>
  <si>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</si>
  <si>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</si>
  <si>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</si>
  <si>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</si>
  <si>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</si>
  <si>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</si>
  <si>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</si>
  <si>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</si>
  <si>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</si>
  <si>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</si>
  <si>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</si>
  <si>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</si>
  <si>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</si>
  <si>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</si>
  <si>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</si>
  <si>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</si>
  <si>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</si>
  <si>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</si>
  <si>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</si>
  <si>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</si>
  <si>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</si>
  <si>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</si>
  <si>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</si>
  <si>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</si>
  <si>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</si>
  <si>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</si>
  <si>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</si>
  <si>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</si>
  <si>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</si>
  <si>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</si>
  <si>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</si>
  <si>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</si>
  <si>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</si>
  <si>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</si>
  <si>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</si>
  <si>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</si>
  <si>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</si>
  <si>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</si>
  <si>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</si>
  <si>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</si>
  <si>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</si>
  <si>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</si>
  <si>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</si>
  <si>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</si>
  <si>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</si>
  <si>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</si>
  <si>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</si>
  <si>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</si>
  <si>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</si>
  <si>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</si>
  <si>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</si>
  <si>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</si>
  <si>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</si>
  <si>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</si>
  <si>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</si>
  <si>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</si>
  <si>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</si>
  <si>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</si>
  <si>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</si>
  <si>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</si>
  <si>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</si>
  <si>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</si>
  <si>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</si>
  <si>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</si>
  <si>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</si>
  <si>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</si>
  <si>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</si>
  <si>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</si>
  <si>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</si>
  <si>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</si>
  <si>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</si>
  <si>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</si>
  <si>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</si>
  <si>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</si>
  <si>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</si>
  <si>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</si>
  <si>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</si>
  <si>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</si>
  <si>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</si>
  <si>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</si>
  <si>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</si>
  <si>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</si>
  <si>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</si>
  <si>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</si>
  <si>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</si>
  <si>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</si>
  <si>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</si>
  <si>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</si>
  <si>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</si>
  <si>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</si>
  <si>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</si>
  <si>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</si>
  <si>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</si>
  <si>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</si>
  <si>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</si>
  <si>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</si>
  <si>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</si>
  <si>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</si>
  <si>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</si>
  <si>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</si>
  <si>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</si>
  <si>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</si>
  <si>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</si>
  <si>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</si>
  <si>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</si>
  <si>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</si>
  <si>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</si>
  <si>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</si>
  <si>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</si>
  <si>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</si>
  <si>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</si>
  <si>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</si>
  <si>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</si>
  <si>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</si>
  <si>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</si>
  <si>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</si>
  <si>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</si>
  <si>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</si>
  <si>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</si>
  <si>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</si>
  <si>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</si>
  <si>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</si>
  <si>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</si>
  <si>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</si>
  <si>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</si>
  <si>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</si>
  <si>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</si>
  <si>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</si>
  <si>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</si>
  <si>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</si>
  <si>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</si>
  <si>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</si>
  <si>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</si>
  <si>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</si>
  <si>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</si>
  <si>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</si>
  <si>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</si>
  <si>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</si>
  <si>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</si>
  <si>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</si>
  <si>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</si>
  <si>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</si>
  <si>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</si>
  <si>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</si>
  <si>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</si>
  <si>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</si>
  <si>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</si>
  <si>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</si>
  <si>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</si>
  <si>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</si>
  <si>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</si>
  <si>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</si>
  <si>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</si>
  <si>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</si>
  <si>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</si>
  <si>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</si>
  <si>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</si>
  <si>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</si>
  <si>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</si>
  <si>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</si>
  <si>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</si>
  <si>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</si>
  <si>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</si>
  <si>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</si>
  <si>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</si>
  <si>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</si>
  <si>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</si>
  <si>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</si>
  <si>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</si>
  <si>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</si>
  <si>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</si>
  <si>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</si>
  <si>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</si>
  <si>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</si>
  <si>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</si>
  <si>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</si>
  <si>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</si>
  <si>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</si>
  <si>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</si>
  <si>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</si>
  <si>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</si>
  <si>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</si>
  <si>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</si>
  <si>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</si>
  <si>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</si>
  <si>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</si>
  <si>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</si>
  <si>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</si>
  <si>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</si>
  <si>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</si>
  <si>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</si>
  <si>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</si>
  <si>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</si>
  <si>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</si>
  <si>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</si>
  <si>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</si>
  <si>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</si>
  <si>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</si>
  <si>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</si>
  <si>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</si>
  <si>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</si>
  <si>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</si>
  <si>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</si>
  <si>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</si>
  <si>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</si>
  <si>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</si>
  <si>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</si>
  <si>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</si>
  <si>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</si>
  <si>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</si>
  <si>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</si>
  <si>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</si>
  <si>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</si>
  <si>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</si>
  <si>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</si>
  <si>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</si>
  <si>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</si>
  <si>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</si>
  <si>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</si>
  <si>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</si>
  <si>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</si>
  <si>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</si>
  <si>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</si>
  <si>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</si>
  <si>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</si>
  <si>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</si>
  <si>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</si>
  <si>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</si>
  <si>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</si>
  <si>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</si>
  <si>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</si>
  <si>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</si>
  <si>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</si>
  <si>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</si>
  <si>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</si>
  <si>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</si>
  <si>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</si>
  <si>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</si>
  <si>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</si>
  <si>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</si>
  <si>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</si>
  <si>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</si>
  <si>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</si>
  <si>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</si>
  <si>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</si>
  <si>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</si>
  <si>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</si>
  <si>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</si>
  <si>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</si>
  <si>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</si>
  <si>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</si>
  <si>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</si>
  <si>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</si>
  <si>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</si>
  <si>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</si>
  <si>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</si>
  <si>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</si>
  <si>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</si>
  <si>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</si>
  <si>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</si>
  <si>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</si>
  <si>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</si>
  <si>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</si>
  <si>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</si>
  <si>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</si>
  <si>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</si>
  <si>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</si>
  <si>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</si>
  <si>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</si>
  <si>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</si>
  <si>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</si>
  <si>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</si>
  <si>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</si>
  <si>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</si>
  <si>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</si>
  <si>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</si>
  <si>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</si>
  <si>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</si>
  <si>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</si>
  <si>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</si>
  <si>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</si>
  <si>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</si>
  <si>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</si>
  <si>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</si>
  <si>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</si>
  <si>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</si>
  <si>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</si>
  <si>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</si>
  <si>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</si>
  <si>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</si>
  <si>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</si>
  <si>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</si>
  <si>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</si>
  <si>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</si>
  <si>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</si>
  <si>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</si>
  <si>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</si>
  <si>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</si>
  <si>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</si>
  <si>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</si>
  <si>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</si>
  <si>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</si>
  <si>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</si>
  <si>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</si>
  <si>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</si>
  <si>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</si>
  <si>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</si>
  <si>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</si>
  <si>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</si>
  <si>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</si>
  <si>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</si>
  <si>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</si>
  <si>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</si>
  <si>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</si>
  <si>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</si>
  <si>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</si>
  <si>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</si>
  <si>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</si>
  <si>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</si>
  <si>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</si>
  <si>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</si>
  <si>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</si>
  <si>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</si>
  <si>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</si>
  <si>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</si>
  <si>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</si>
  <si>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</si>
  <si>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</si>
  <si>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</si>
  <si>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</si>
  <si>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</si>
  <si>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</si>
  <si>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</si>
  <si>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</si>
  <si>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</si>
  <si>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</si>
  <si>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</si>
  <si>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</si>
  <si>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</si>
  <si>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</si>
  <si>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</si>
  <si>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</si>
  <si>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</si>
  <si>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</si>
  <si>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</si>
  <si>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</si>
  <si>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</si>
  <si>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</si>
  <si>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</si>
  <si>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</si>
  <si>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</si>
  <si>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</si>
  <si>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</si>
  <si>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</si>
  <si>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</si>
  <si>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</si>
  <si>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</si>
  <si>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</si>
  <si>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</si>
  <si>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</si>
  <si>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</si>
  <si>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</si>
  <si>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</si>
  <si>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</si>
  <si>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</si>
  <si>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</si>
  <si>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</si>
  <si>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</si>
  <si>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</si>
  <si>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</si>
  <si>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</si>
  <si>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</si>
  <si>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</si>
  <si>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</si>
  <si>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</si>
  <si>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</si>
  <si>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</si>
  <si>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</si>
  <si>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</si>
  <si>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</si>
  <si>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</si>
  <si>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</si>
  <si>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</si>
  <si>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</si>
  <si>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</si>
  <si>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</si>
  <si>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</si>
  <si>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</si>
  <si>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</si>
  <si>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</si>
  <si>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</si>
  <si>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</si>
  <si>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</si>
  <si>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</si>
  <si>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</si>
  <si>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</si>
  <si>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</si>
  <si>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</si>
  <si>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</si>
  <si>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</si>
  <si>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</si>
  <si>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</si>
  <si>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</si>
  <si>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</si>
  <si>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</si>
  <si>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</si>
  <si>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</si>
  <si>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</si>
  <si>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</si>
  <si>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</si>
  <si>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</si>
  <si>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</si>
  <si>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</si>
  <si>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</si>
  <si>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</si>
  <si>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</si>
  <si>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</si>
  <si>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</si>
  <si>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</si>
  <si>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</si>
  <si>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</si>
  <si>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</si>
  <si>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</si>
  <si>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</si>
  <si>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</si>
  <si>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</si>
  <si>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</si>
  <si>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</si>
  <si>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</si>
  <si>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</si>
  <si>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</si>
  <si>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</si>
  <si>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</si>
  <si>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</si>
  <si>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</si>
  <si>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</si>
  <si>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</si>
  <si>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</si>
  <si>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</si>
  <si>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</si>
  <si>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</si>
  <si>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</si>
  <si>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</si>
  <si>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</si>
  <si>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</si>
  <si>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</si>
  <si>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</si>
  <si>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</si>
  <si>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</si>
  <si>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</si>
  <si>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</si>
  <si>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</si>
  <si>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</si>
  <si>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</si>
  <si>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</si>
  <si>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</si>
  <si>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</si>
  <si>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</si>
  <si>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</si>
  <si>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</si>
  <si>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</si>
  <si>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</si>
  <si>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</si>
  <si>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</si>
  <si>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</si>
  <si>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</si>
  <si>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</si>
  <si>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</si>
  <si>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</si>
  <si>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</si>
  <si>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</si>
  <si>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</si>
  <si>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</si>
  <si>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</si>
  <si>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</si>
  <si>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</si>
  <si>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</si>
  <si>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</si>
  <si>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</si>
  <si>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</si>
  <si>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</si>
  <si>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</si>
  <si>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</si>
  <si>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</si>
  <si>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</si>
  <si>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</si>
  <si>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</si>
  <si>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</si>
  <si>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</si>
  <si>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</si>
  <si>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</si>
  <si>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</si>
  <si>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</si>
  <si>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</si>
  <si>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</si>
  <si>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</si>
  <si>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</si>
  <si>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</si>
  <si>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</si>
  <si>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</si>
  <si>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</si>
  <si>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</si>
  <si>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</si>
  <si>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</si>
  <si>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</si>
  <si>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</si>
  <si>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</si>
  <si>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</si>
  <si>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</si>
  <si>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</si>
  <si>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</si>
  <si>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</si>
  <si>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</si>
  <si>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</si>
  <si>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</si>
  <si>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</si>
  <si>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</si>
  <si>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</si>
  <si>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</si>
  <si>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</si>
  <si>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</si>
  <si>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</si>
  <si>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</si>
  <si>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</si>
  <si>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</si>
  <si>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</si>
  <si>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</si>
  <si>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</si>
  <si>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</si>
  <si>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</si>
  <si>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</si>
  <si>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</si>
  <si>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</si>
  <si>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</si>
  <si>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</si>
  <si>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</si>
  <si>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</si>
  <si>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</si>
  <si>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</si>
  <si>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</si>
  <si>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</si>
  <si>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</si>
  <si>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</si>
  <si>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</si>
  <si>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</si>
  <si>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</si>
  <si>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</si>
  <si>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</si>
  <si>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</si>
  <si>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</si>
  <si>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</si>
  <si>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</si>
  <si>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</si>
  <si>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</si>
  <si>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</si>
  <si>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</si>
  <si>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</si>
  <si>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</si>
  <si>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</si>
  <si>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</si>
  <si>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</si>
  <si>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</si>
  <si>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</si>
  <si>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</si>
  <si>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</si>
  <si>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</si>
  <si>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</si>
  <si>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</si>
  <si>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</si>
  <si>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</si>
  <si>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</si>
  <si>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</si>
  <si>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</si>
  <si>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</si>
  <si>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</si>
  <si>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</si>
  <si>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</si>
  <si>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</si>
  <si>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</si>
  <si>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</si>
  <si>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</si>
  <si>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</si>
  <si>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</si>
  <si>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</si>
  <si>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</si>
  <si>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</si>
  <si>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</si>
  <si>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</si>
  <si>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</si>
  <si>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</si>
  <si>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</si>
  <si>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</si>
  <si>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</si>
  <si>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</si>
  <si>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</si>
  <si>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</si>
  <si>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</si>
  <si>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</si>
  <si>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</si>
  <si>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</si>
  <si>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</si>
  <si>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</si>
  <si>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</si>
  <si>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</si>
  <si>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</si>
  <si>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</si>
  <si>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</si>
  <si>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</si>
  <si>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</si>
  <si>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</si>
  <si>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</si>
  <si>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</si>
  <si>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</si>
  <si>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</si>
  <si>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</si>
  <si>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</si>
  <si>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</si>
  <si>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</si>
  <si>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</si>
  <si>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</si>
  <si>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</si>
  <si>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</si>
  <si>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</si>
  <si>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</si>
  <si>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</si>
  <si>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</si>
  <si>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</si>
  <si>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</si>
  <si>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</si>
  <si>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</si>
  <si>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</si>
  <si>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</si>
  <si>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</si>
  <si>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</si>
  <si>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</si>
  <si>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</si>
  <si>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</si>
  <si>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</si>
  <si>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</si>
  <si>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</si>
  <si>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</si>
  <si>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</si>
  <si>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</si>
  <si>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</si>
  <si>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</si>
  <si>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</si>
  <si>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</si>
  <si>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</si>
  <si>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</si>
  <si>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</si>
  <si>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</si>
  <si>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</si>
  <si>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</si>
  <si>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</si>
  <si>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</si>
  <si>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</si>
  <si>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</si>
  <si>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</si>
  <si>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</si>
  <si>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</si>
  <si>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</si>
  <si>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</si>
  <si>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</si>
  <si>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</si>
  <si>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</si>
  <si>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</si>
  <si>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</si>
  <si>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</si>
  <si>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</si>
  <si>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</si>
  <si>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</si>
  <si>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</si>
  <si>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</si>
  <si>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</si>
  <si>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</si>
  <si>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</si>
  <si>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</si>
  <si>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</si>
  <si>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</si>
  <si>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</si>
  <si>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</si>
  <si>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</si>
  <si>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</si>
  <si>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</si>
  <si>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</si>
  <si>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</si>
  <si>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</si>
  <si>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</si>
  <si>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</si>
  <si>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</si>
  <si>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</si>
  <si>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</si>
  <si>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</si>
  <si>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</si>
  <si>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</si>
  <si>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</si>
  <si>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</si>
  <si>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</si>
  <si>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</si>
  <si>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</si>
  <si>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</si>
  <si>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</si>
  <si>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</si>
  <si>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</si>
  <si>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</si>
  <si>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</si>
  <si>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</si>
  <si>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</si>
  <si>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</si>
  <si>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</si>
  <si>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</si>
  <si>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</si>
  <si>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</si>
  <si>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</si>
  <si>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</si>
  <si>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</si>
  <si>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</si>
  <si>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</si>
  <si>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</si>
  <si>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</si>
  <si>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</si>
  <si>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</si>
  <si>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</si>
  <si>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</si>
  <si>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</si>
  <si>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</si>
  <si>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</si>
  <si>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</si>
  <si>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</si>
  <si>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</si>
  <si>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</si>
  <si>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</si>
  <si>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</si>
  <si>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</si>
  <si>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</si>
  <si>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</si>
  <si>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</si>
  <si>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</si>
  <si>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</si>
  <si>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</si>
  <si>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</si>
  <si>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</si>
  <si>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</si>
  <si>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</si>
  <si>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</si>
  <si>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</si>
  <si>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</si>
  <si>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</si>
  <si>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</si>
  <si>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</si>
  <si>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</si>
  <si>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</si>
  <si>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</si>
  <si>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</si>
  <si>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</si>
  <si>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</si>
  <si>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</si>
  <si>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</si>
  <si>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</si>
  <si>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</si>
  <si>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</si>
  <si>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</si>
  <si>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</si>
  <si>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</si>
  <si>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</si>
  <si>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</si>
  <si>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</si>
  <si>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</si>
  <si>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</si>
  <si>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</si>
  <si>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</si>
  <si>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</si>
  <si>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</si>
  <si>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</si>
  <si>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</si>
  <si>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</si>
  <si>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</si>
  <si>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</si>
  <si>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</si>
  <si>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</si>
  <si>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</si>
  <si>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</si>
  <si>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</si>
  <si>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</si>
  <si>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</si>
  <si>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</si>
  <si>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</si>
  <si>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</si>
  <si>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</si>
  <si>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</si>
  <si>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</si>
  <si>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</si>
  <si>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</si>
  <si>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</si>
  <si>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</si>
  <si>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</si>
  <si>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</si>
  <si>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</si>
  <si>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</si>
  <si>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</si>
  <si>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</si>
  <si>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</si>
  <si>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</si>
  <si>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</si>
  <si>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</si>
  <si>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</si>
  <si>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</si>
  <si>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</si>
  <si>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</si>
  <si>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</si>
  <si>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</si>
  <si>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</si>
  <si>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</si>
  <si>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</si>
  <si>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</si>
  <si>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</si>
  <si>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</si>
  <si>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</si>
  <si>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</si>
  <si>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</si>
  <si>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</si>
  <si>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</si>
  <si>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</si>
  <si>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</si>
  <si>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</si>
  <si>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</si>
  <si>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</si>
  <si>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</si>
  <si>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</si>
  <si>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</si>
  <si>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</si>
  <si>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</si>
  <si>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</si>
  <si>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</si>
  <si>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</si>
  <si>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</si>
  <si>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</si>
  <si>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</si>
  <si>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</si>
  <si>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</si>
  <si>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</si>
  <si>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</si>
  <si>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</si>
  <si>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</si>
  <si>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</si>
  <si>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</si>
  <si>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</si>
  <si>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</si>
  <si>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</si>
  <si>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</si>
  <si>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</si>
  <si>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</si>
  <si>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</si>
  <si>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</si>
  <si>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</si>
  <si>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</si>
  <si>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</si>
  <si>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</si>
  <si>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</si>
  <si>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</si>
  <si>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</si>
  <si>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</si>
  <si>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</si>
  <si>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</si>
  <si>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</si>
  <si>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</si>
  <si>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</si>
  <si>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</si>
  <si>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</si>
  <si>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</si>
  <si>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</si>
  <si>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</si>
  <si>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</si>
  <si>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</si>
  <si>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</si>
  <si>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</si>
  <si>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</si>
  <si>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</si>
  <si>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</si>
  <si>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</si>
  <si>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</si>
  <si>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</si>
  <si>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</si>
  <si>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</si>
  <si>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</si>
  <si>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</si>
  <si>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</si>
  <si>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</si>
  <si>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</si>
  <si>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</si>
  <si>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</si>
  <si>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</si>
  <si>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</si>
  <si>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</si>
  <si>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</si>
  <si>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</si>
  <si>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</si>
  <si>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</si>
  <si>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</si>
  <si>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</si>
  <si>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</si>
  <si>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</si>
  <si>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</si>
  <si>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</si>
  <si>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</si>
  <si>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</si>
  <si>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</si>
  <si>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</si>
  <si>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</si>
  <si>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</si>
  <si>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</si>
  <si>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</si>
  <si>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</si>
  <si>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</si>
  <si>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</si>
  <si>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</si>
  <si>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</si>
  <si>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</si>
  <si>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</si>
  <si>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</si>
  <si>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</si>
  <si>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</si>
  <si>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</si>
  <si>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</si>
  <si>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</si>
  <si>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</si>
  <si>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</si>
  <si>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</si>
  <si>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</si>
  <si>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</si>
  <si>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</si>
  <si>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</si>
  <si>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</si>
  <si>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</si>
  <si>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</si>
  <si>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</si>
  <si>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</si>
  <si>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</si>
  <si>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</si>
  <si>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</si>
  <si>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</si>
  <si>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</si>
  <si>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</si>
  <si>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</si>
  <si>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</si>
  <si>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</si>
  <si>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</si>
  <si>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</si>
  <si>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</si>
  <si>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</si>
  <si>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</si>
  <si>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</si>
  <si>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</si>
  <si>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</si>
  <si>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</si>
  <si>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</si>
  <si>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</si>
  <si>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</si>
  <si>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</si>
  <si>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</si>
  <si>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</si>
  <si>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</si>
  <si>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</si>
  <si>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</si>
  <si>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</si>
  <si>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</si>
  <si>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</si>
  <si>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</si>
  <si>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</si>
  <si>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</si>
  <si>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</si>
  <si>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</si>
  <si>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</si>
  <si>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</si>
  <si>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</si>
  <si>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</si>
  <si>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</si>
  <si>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</si>
  <si>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</si>
  <si>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</si>
  <si>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</si>
  <si>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</si>
  <si>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</si>
  <si>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</si>
  <si>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</si>
  <si>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</si>
  <si>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</si>
  <si>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</si>
  <si>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</si>
  <si>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</si>
  <si>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</si>
  <si>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</si>
  <si>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</si>
  <si>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</si>
  <si>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</si>
  <si>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</si>
  <si>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</si>
  <si>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</si>
  <si>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</si>
  <si>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</si>
  <si>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</si>
  <si>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</si>
  <si>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</si>
  <si>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</si>
  <si>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</si>
  <si>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</si>
  <si>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</si>
  <si>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</si>
  <si>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</si>
  <si>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</si>
  <si>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</si>
  <si>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</si>
  <si>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</si>
  <si>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</si>
  <si>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</si>
  <si>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</si>
  <si>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</si>
  <si>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</si>
  <si>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</si>
  <si>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</si>
  <si>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</si>
  <si>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</si>
  <si>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</si>
  <si>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</si>
  <si>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</si>
  <si>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</si>
  <si>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</si>
  <si>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</si>
  <si>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</si>
  <si>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</si>
  <si>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</si>
  <si>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</si>
  <si>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</si>
  <si>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</si>
  <si>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</si>
  <si>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</si>
  <si>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</si>
  <si>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</si>
  <si>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</si>
  <si>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</si>
  <si>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</si>
  <si>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</si>
  <si>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</si>
  <si>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</si>
  <si>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</si>
  <si>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</si>
  <si>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</si>
  <si>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</si>
  <si>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</si>
  <si>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</si>
  <si>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</si>
  <si>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</si>
  <si>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</si>
  <si>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</si>
  <si>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</si>
  <si>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</si>
  <si>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</si>
  <si>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</si>
  <si>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</si>
  <si>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</si>
  <si>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</si>
  <si>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</si>
  <si>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</si>
  <si>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</si>
  <si>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</si>
  <si>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</si>
  <si>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</si>
  <si>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</si>
  <si>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</si>
  <si>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</si>
  <si>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</si>
  <si>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</si>
  <si>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</si>
  <si>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</si>
  <si>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</si>
  <si>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</si>
  <si>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</si>
  <si>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</si>
  <si>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</si>
  <si>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</si>
  <si>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</si>
  <si>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</si>
  <si>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</si>
  <si>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</si>
  <si>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</si>
  <si>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</si>
  <si>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</si>
  <si>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</si>
  <si>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</si>
  <si>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</si>
  <si>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</si>
  <si>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</si>
  <si>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</si>
  <si>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</si>
  <si>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</si>
  <si>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</si>
  <si>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</si>
  <si>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</si>
  <si>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</si>
  <si>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</si>
  <si>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</si>
  <si>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</si>
  <si>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</si>
  <si>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</si>
  <si>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</si>
  <si>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</si>
  <si>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</si>
  <si>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</si>
  <si>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</si>
  <si>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</si>
  <si>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</si>
  <si>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</si>
  <si>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</si>
  <si>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</si>
  <si>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</si>
  <si>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</si>
  <si>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</si>
  <si>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</si>
  <si>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</si>
  <si>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</si>
  <si>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</si>
  <si>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</si>
  <si>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</si>
  <si>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</si>
  <si>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</si>
  <si>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</si>
  <si>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</si>
  <si>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</si>
  <si>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</si>
  <si>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</si>
  <si>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</si>
  <si>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</si>
  <si>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</si>
  <si>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</si>
  <si>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</si>
  <si>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</si>
  <si>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</si>
  <si>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</si>
  <si>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</si>
  <si>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</si>
  <si>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</si>
  <si>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</si>
  <si>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</si>
  <si>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</si>
  <si>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</si>
  <si>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</si>
  <si>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</si>
  <si>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</si>
  <si>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</si>
  <si>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</si>
  <si>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</si>
  <si>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</si>
  <si>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</si>
  <si>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</si>
  <si>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</si>
  <si>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</si>
  <si>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</si>
  <si>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</si>
  <si>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</si>
  <si>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</si>
  <si>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</si>
  <si>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</si>
  <si>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</si>
  <si>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</si>
  <si>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</si>
  <si>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</si>
  <si>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</si>
  <si>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</si>
  <si>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</si>
  <si>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</si>
  <si>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</si>
  <si>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</si>
  <si>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</si>
  <si>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</si>
  <si>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</si>
  <si>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</si>
  <si>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</si>
  <si>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</si>
  <si>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</si>
  <si>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</si>
  <si>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</si>
  <si>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</si>
  <si>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</si>
  <si>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</si>
  <si>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</si>
  <si>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</si>
  <si>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</si>
  <si>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</si>
  <si>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</si>
  <si>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</si>
  <si>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</si>
  <si>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</si>
  <si>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</si>
  <si>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</si>
  <si>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</si>
  <si>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</si>
  <si>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</si>
  <si>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</si>
  <si>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</si>
  <si>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</si>
  <si>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</si>
  <si>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</si>
  <si>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</si>
  <si>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</si>
  <si>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</si>
  <si>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</si>
  <si>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</si>
  <si>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</si>
  <si>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</si>
  <si>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</si>
  <si>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</si>
  <si>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</si>
  <si>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</si>
  <si>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</si>
  <si>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</si>
  <si>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</si>
  <si>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</si>
  <si>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</si>
  <si>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</si>
  <si>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</si>
  <si>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</si>
  <si>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</si>
  <si>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</si>
  <si>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</si>
  <si>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</si>
  <si>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</si>
  <si>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</si>
  <si>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</si>
  <si>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</si>
  <si>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</si>
  <si>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</si>
  <si>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</si>
  <si>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</si>
  <si>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</si>
  <si>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</si>
  <si>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</si>
  <si>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</si>
  <si>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</si>
  <si>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</si>
  <si>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</si>
  <si>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</si>
  <si>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</si>
  <si>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</si>
  <si>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</si>
  <si>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</si>
  <si>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</si>
  <si>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</si>
  <si>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</si>
  <si>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</si>
  <si>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</si>
  <si>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</si>
  <si>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</si>
  <si>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</si>
  <si>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</si>
  <si>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</si>
  <si>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</si>
  <si>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</si>
  <si>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</si>
  <si>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</si>
  <si>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</si>
  <si>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</si>
  <si>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</si>
  <si>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</si>
  <si>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</si>
  <si>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</si>
  <si>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</si>
  <si>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</si>
  <si>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</si>
  <si>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</si>
  <si>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</si>
  <si>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</si>
  <si>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</si>
  <si>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</si>
  <si>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</si>
  <si>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</si>
  <si>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</si>
  <si>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</si>
  <si>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</si>
  <si>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</si>
  <si>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</si>
  <si>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</si>
  <si>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</si>
  <si>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</si>
  <si>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</si>
  <si>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</si>
  <si>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</si>
  <si>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</si>
  <si>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</si>
  <si>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</si>
  <si>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</si>
  <si>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</si>
  <si>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</si>
  <si>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</si>
  <si>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</si>
  <si>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</si>
  <si>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</si>
  <si>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</si>
  <si>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</si>
  <si>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</si>
  <si>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</si>
  <si>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</si>
  <si>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</si>
  <si>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</si>
  <si>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</si>
  <si>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</si>
  <si>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</si>
  <si>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</si>
  <si>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</si>
  <si>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</si>
  <si>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</si>
  <si>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</si>
  <si>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</si>
  <si>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</si>
  <si>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</si>
  <si>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</si>
  <si>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</si>
  <si>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</si>
  <si>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</si>
  <si>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</si>
  <si>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</si>
  <si>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</si>
  <si>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</si>
  <si>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</si>
  <si>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</si>
  <si>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</si>
  <si>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</si>
  <si>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</si>
  <si>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</si>
  <si>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</si>
  <si>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</si>
  <si>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</si>
  <si>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</si>
  <si>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</si>
  <si>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</si>
  <si>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</si>
  <si>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</si>
  <si>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</si>
  <si>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</si>
  <si>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</si>
  <si>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</si>
  <si>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</si>
  <si>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</si>
  <si>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</si>
  <si>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</si>
  <si>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</si>
  <si>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</si>
  <si>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</si>
  <si>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</si>
  <si>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</si>
  <si>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</si>
  <si>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</si>
  <si>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</si>
  <si>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</si>
  <si>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</si>
  <si>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</si>
  <si>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</si>
  <si>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</si>
  <si>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</si>
  <si>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</si>
  <si>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</si>
  <si>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</si>
  <si>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</si>
  <si>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</si>
  <si>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</si>
  <si>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</si>
  <si>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</si>
  <si>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</si>
  <si>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</si>
  <si>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</si>
  <si>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</si>
  <si>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</si>
  <si>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</si>
  <si>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</si>
  <si>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</si>
  <si>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</si>
  <si>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</si>
  <si>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</si>
  <si>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</si>
  <si>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</si>
  <si>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</si>
  <si>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</si>
  <si>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</si>
  <si>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</si>
  <si>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</si>
  <si>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</si>
  <si>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</si>
  <si>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</si>
  <si>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</si>
  <si>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</si>
  <si>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</si>
  <si>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</si>
  <si>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</si>
  <si>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</si>
  <si>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</si>
  <si>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</si>
  <si>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</si>
  <si>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</si>
  <si>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</si>
  <si>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</si>
  <si>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</si>
  <si>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</si>
  <si>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</si>
  <si>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</si>
  <si>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</si>
  <si>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</si>
  <si>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</si>
  <si>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</si>
  <si>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</si>
  <si>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</si>
  <si>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</si>
  <si>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</si>
  <si>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</si>
  <si>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</si>
  <si>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</si>
  <si>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</si>
  <si>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</si>
  <si>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</si>
  <si>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</si>
  <si>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</si>
  <si>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</si>
  <si>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</si>
  <si>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</si>
  <si>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</si>
  <si>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</si>
  <si>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</si>
  <si>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</si>
  <si>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</si>
  <si>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</si>
  <si>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</si>
  <si>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</si>
  <si>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</si>
  <si>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</si>
  <si>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</si>
  <si>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</si>
  <si>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</si>
  <si>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</si>
  <si>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</si>
  <si>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</si>
  <si>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</si>
  <si>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</si>
  <si>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</si>
  <si>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</si>
  <si>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</si>
  <si>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</si>
  <si>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</si>
  <si>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</si>
  <si>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</si>
  <si>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</si>
  <si>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</si>
  <si>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</si>
  <si>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</si>
  <si>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</si>
  <si>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</si>
  <si>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</si>
  <si>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</si>
  <si>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</si>
  <si>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</si>
  <si>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</si>
  <si>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</si>
  <si>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</si>
  <si>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</si>
  <si>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</si>
  <si>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</si>
  <si>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</si>
  <si>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</si>
  <si>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</si>
  <si>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</si>
  <si>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</si>
  <si>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</si>
  <si>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</si>
  <si>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</si>
  <si>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</si>
  <si>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</si>
  <si>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</si>
  <si>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</si>
  <si>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</si>
  <si>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</si>
  <si>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</si>
  <si>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</si>
  <si>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</si>
  <si>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</si>
  <si>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</si>
  <si>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</si>
  <si>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</si>
  <si>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</si>
  <si>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</si>
  <si>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</si>
  <si>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</si>
  <si>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</si>
  <si>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</si>
  <si>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</si>
  <si>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</si>
  <si>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</si>
  <si>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</si>
  <si>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</si>
  <si>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</si>
  <si>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</si>
  <si>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</si>
  <si>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</si>
  <si>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</si>
  <si>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</si>
  <si>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</si>
  <si>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</si>
  <si>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</si>
  <si>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</si>
  <si>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</si>
  <si>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</si>
  <si>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</si>
  <si>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</si>
  <si>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</si>
  <si>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</si>
  <si>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</si>
  <si>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</si>
  <si>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</si>
  <si>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</si>
  <si>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</si>
  <si>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</si>
  <si>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</si>
  <si>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</si>
  <si>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</si>
  <si>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</si>
  <si>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</si>
  <si>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</si>
  <si>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</si>
  <si>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</si>
  <si>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</si>
  <si>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</si>
  <si>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</si>
  <si>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</si>
  <si>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</si>
  <si>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</si>
  <si>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</si>
  <si>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</si>
  <si>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</si>
  <si>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</si>
  <si>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</si>
  <si>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</si>
  <si>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</si>
  <si>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</si>
  <si>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</si>
  <si>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</si>
  <si>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</si>
  <si>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</si>
  <si>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</si>
  <si>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</si>
  <si>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</si>
  <si>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</si>
  <si>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</si>
  <si>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</si>
  <si>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</si>
  <si>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</si>
  <si>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</si>
  <si>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</si>
  <si>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</si>
  <si>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</si>
  <si>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</si>
  <si>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</si>
  <si>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</si>
  <si>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</si>
  <si>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</si>
  <si>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</si>
  <si>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</si>
  <si>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</si>
  <si>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</si>
  <si>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</si>
  <si>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</si>
  <si>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</si>
  <si>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</si>
  <si>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</si>
  <si>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</si>
  <si>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</si>
  <si>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</si>
  <si>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</si>
  <si>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</si>
  <si>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</si>
  <si>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</si>
  <si>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</si>
  <si>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</si>
  <si>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</si>
  <si>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</si>
  <si>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</si>
  <si>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</si>
  <si>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</si>
  <si>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</si>
  <si>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</si>
  <si>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</si>
  <si>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</si>
  <si>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</si>
  <si>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</si>
  <si>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</si>
  <si>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</si>
  <si>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</si>
  <si>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</si>
  <si>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</si>
  <si>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</si>
  <si>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</si>
  <si>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</si>
  <si>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</si>
  <si>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</si>
  <si>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</si>
  <si>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</si>
  <si>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</si>
  <si>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</si>
  <si>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</si>
  <si>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</si>
  <si>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</si>
  <si>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</si>
  <si>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</si>
  <si>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</si>
  <si>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</si>
  <si>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</si>
  <si>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</si>
  <si>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</si>
  <si>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</si>
  <si>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</si>
  <si>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</si>
  <si>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</si>
  <si>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</si>
  <si>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</si>
  <si>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</si>
  <si>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</si>
  <si>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</si>
  <si>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</si>
  <si>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</si>
  <si>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</si>
  <si>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</si>
  <si>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</si>
  <si>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</si>
  <si>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</si>
  <si>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</si>
  <si>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</si>
  <si>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</si>
  <si>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</si>
  <si>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</si>
  <si>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</si>
  <si>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</si>
  <si>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</si>
  <si>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</si>
  <si>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</si>
  <si>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</si>
  <si>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</si>
  <si>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</si>
  <si>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</si>
  <si>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</si>
  <si>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</si>
  <si>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</si>
  <si>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</si>
  <si>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</si>
  <si>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</si>
  <si>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</si>
  <si>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</si>
  <si>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</si>
  <si>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</si>
  <si>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</si>
  <si>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</si>
  <si>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</si>
  <si>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</si>
  <si>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</si>
  <si>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</si>
  <si>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</si>
  <si>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</si>
  <si>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</si>
  <si>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</si>
  <si>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</si>
  <si>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</si>
  <si>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</si>
  <si>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</si>
  <si>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</si>
  <si>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</si>
  <si>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</si>
  <si>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</si>
  <si>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</si>
  <si>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</si>
  <si>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</si>
  <si>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</si>
  <si>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</si>
  <si>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</si>
  <si>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</si>
  <si>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</si>
  <si>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</si>
  <si>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</si>
  <si>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</si>
  <si>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</si>
  <si>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</si>
  <si>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</si>
  <si>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</si>
  <si>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</si>
  <si>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</si>
  <si>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</si>
  <si>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</si>
  <si>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</si>
  <si>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</si>
  <si>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</si>
  <si>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</si>
  <si>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</si>
  <si>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</si>
  <si>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</si>
  <si>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</si>
  <si>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</si>
  <si>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</si>
  <si>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</si>
  <si>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</si>
  <si>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</si>
  <si>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</si>
  <si>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</si>
  <si>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</si>
  <si>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</si>
  <si>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</si>
  <si>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</si>
  <si>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</si>
  <si>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</si>
  <si>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</si>
  <si>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</si>
  <si>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</si>
  <si>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</si>
  <si>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</si>
  <si>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</si>
  <si>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</si>
  <si>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</si>
  <si>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</si>
  <si>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</si>
  <si>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</si>
  <si>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</si>
  <si>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</si>
  <si>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</si>
  <si>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</si>
  <si>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</si>
  <si>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</si>
  <si>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</si>
  <si>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</si>
  <si>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</si>
  <si>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</si>
  <si>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</si>
  <si>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</si>
  <si>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</si>
  <si>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</si>
  <si>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</si>
  <si>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</si>
  <si>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</si>
  <si>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</si>
  <si>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</si>
  <si>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</si>
  <si>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</si>
  <si>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</si>
  <si>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</si>
  <si>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</si>
  <si>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</si>
  <si>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</si>
  <si>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</si>
  <si>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</si>
  <si>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</si>
  <si>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</si>
  <si>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</si>
  <si>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</si>
  <si>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</si>
  <si>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</si>
  <si>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</si>
  <si>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</si>
  <si>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</si>
  <si>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</si>
  <si>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</si>
  <si>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</si>
  <si>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</si>
  <si>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</si>
  <si>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</si>
  <si>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</si>
  <si>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</si>
  <si>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</si>
  <si>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</si>
  <si>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</si>
  <si>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</si>
  <si>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</si>
  <si>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</si>
  <si>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</si>
  <si>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</si>
  <si>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</si>
  <si>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</si>
  <si>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</si>
  <si>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</si>
  <si>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</si>
  <si>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</si>
  <si>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</si>
  <si>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</si>
  <si>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</si>
  <si>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</si>
  <si>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</si>
  <si>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</si>
  <si>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</si>
  <si>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</si>
  <si>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</si>
  <si>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</si>
  <si>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</si>
  <si>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</si>
  <si>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</si>
  <si>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</si>
  <si>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</si>
  <si>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</si>
  <si>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</si>
  <si>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</si>
  <si>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</si>
  <si>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</si>
  <si>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</si>
  <si>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</si>
  <si>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</si>
  <si>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</si>
  <si>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</si>
  <si>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</si>
  <si>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</si>
  <si>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</si>
  <si>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</si>
  <si>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</si>
  <si>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</si>
  <si>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</si>
  <si>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</si>
  <si>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</si>
  <si>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</si>
  <si>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</si>
  <si>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</si>
  <si>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</si>
  <si>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</si>
  <si>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</si>
  <si>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</si>
  <si>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</si>
  <si>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</si>
  <si>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</si>
  <si>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</si>
  <si>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</si>
  <si>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</si>
  <si>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</si>
  <si>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</si>
  <si>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</si>
  <si>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</si>
  <si>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</si>
  <si>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</si>
  <si>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</si>
  <si>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</si>
  <si>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</si>
  <si>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</si>
  <si>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</si>
  <si>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</si>
  <si>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</si>
  <si>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</si>
  <si>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</si>
  <si>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</si>
  <si>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</si>
  <si>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</si>
  <si>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</si>
  <si>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</si>
  <si>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</si>
  <si>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</si>
  <si>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</si>
  <si>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</si>
  <si>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</si>
  <si>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</si>
  <si>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</si>
  <si>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</si>
  <si>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</si>
  <si>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</si>
  <si>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</si>
  <si>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</si>
  <si>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</si>
  <si>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</si>
  <si>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</si>
  <si>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</si>
  <si>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</si>
  <si>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</si>
  <si>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</si>
  <si>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</si>
  <si>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</si>
  <si>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</si>
  <si>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</si>
  <si>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</si>
  <si>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</si>
  <si>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</si>
  <si>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</si>
  <si>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</si>
  <si>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</si>
  <si>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</si>
  <si>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</si>
  <si>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</si>
  <si>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</si>
  <si>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</si>
  <si>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</si>
  <si>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</si>
  <si>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</si>
  <si>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</si>
  <si>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</si>
  <si>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</si>
  <si>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</si>
  <si>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</si>
  <si>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</si>
  <si>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</si>
  <si>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</si>
  <si>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</si>
  <si>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</si>
  <si>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</si>
  <si>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</si>
  <si>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</si>
  <si>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</si>
  <si>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</si>
  <si>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</si>
  <si>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</si>
  <si>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</si>
  <si>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</si>
  <si>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</si>
  <si>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</si>
  <si>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</si>
  <si>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</si>
  <si>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</si>
  <si>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</si>
  <si>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</si>
  <si>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</si>
  <si>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</si>
  <si>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</si>
  <si>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</si>
  <si>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</si>
  <si>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</si>
  <si>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</si>
  <si>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</si>
  <si>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</si>
  <si>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</si>
  <si>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</si>
  <si>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</si>
  <si>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</si>
  <si>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</si>
  <si>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</si>
  <si>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</si>
  <si>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</si>
  <si>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</si>
  <si>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</si>
  <si>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</si>
  <si>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</si>
  <si>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</si>
  <si>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</si>
  <si>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</si>
  <si>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</si>
  <si>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</si>
  <si>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</si>
  <si>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</si>
  <si>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</si>
  <si>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</si>
  <si>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</si>
  <si>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</si>
  <si>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</si>
  <si>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</si>
  <si>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</si>
  <si>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</si>
  <si>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</si>
  <si>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</si>
  <si>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</si>
  <si>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</si>
  <si>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</si>
  <si>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</si>
  <si>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</si>
  <si>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</si>
  <si>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</si>
  <si>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</si>
  <si>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</si>
  <si>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</si>
  <si>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</si>
  <si>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</si>
  <si>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</si>
  <si>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</si>
  <si>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</si>
  <si>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</si>
  <si>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</si>
  <si>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</si>
  <si>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</si>
  <si>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</si>
  <si>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</si>
  <si>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</si>
  <si>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</si>
  <si>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</si>
  <si>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</si>
  <si>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</si>
  <si>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</si>
  <si>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</si>
  <si>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</si>
  <si>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</si>
  <si>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</si>
  <si>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</si>
  <si>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</si>
  <si>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</si>
  <si>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</si>
  <si>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</si>
  <si>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</si>
  <si>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</si>
  <si>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</si>
  <si>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</si>
  <si>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</si>
  <si>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</si>
  <si>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</si>
  <si>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</si>
  <si>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</si>
  <si>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</si>
  <si>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</si>
  <si>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</si>
  <si>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</si>
  <si>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</si>
  <si>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</si>
  <si>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</si>
  <si>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</si>
  <si>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</si>
  <si>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</si>
  <si>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</si>
  <si>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</si>
  <si>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</si>
  <si>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</si>
  <si>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</si>
  <si>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</si>
  <si>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</si>
  <si>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</si>
  <si>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</si>
  <si>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</si>
  <si>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</si>
  <si>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</si>
  <si>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</si>
  <si>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</si>
  <si>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</si>
  <si>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</si>
  <si>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</si>
  <si>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</si>
  <si>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</si>
  <si>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</si>
  <si>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</si>
  <si>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</si>
  <si>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</si>
  <si>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</si>
  <si>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</si>
  <si>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</si>
  <si>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</si>
  <si>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</si>
  <si>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</si>
  <si>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</si>
  <si>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</si>
  <si>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</si>
  <si>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</si>
  <si>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</si>
  <si>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</si>
  <si>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</si>
  <si>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</si>
  <si>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</si>
  <si>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</si>
  <si>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</si>
  <si>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</si>
  <si>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</si>
  <si>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</si>
  <si>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</si>
  <si>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</si>
  <si>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</si>
  <si>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</si>
  <si>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</si>
  <si>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</si>
  <si>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</si>
  <si>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</si>
  <si>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</si>
  <si>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</si>
  <si>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</si>
  <si>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</si>
  <si>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</si>
  <si>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</si>
  <si>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</si>
  <si>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</si>
  <si>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</si>
  <si>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</si>
  <si>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</si>
  <si>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</si>
  <si>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</si>
  <si>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</si>
  <si>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</si>
  <si>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</si>
  <si>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</si>
  <si>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</si>
  <si>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</si>
  <si>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</si>
  <si>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</si>
  <si>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</si>
  <si>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</si>
  <si>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</si>
  <si>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</si>
  <si>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</si>
  <si>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</si>
  <si>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</si>
  <si>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</si>
  <si>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</si>
  <si>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</si>
  <si>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</si>
  <si>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</si>
  <si>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</si>
  <si>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</si>
  <si>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</si>
  <si>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</si>
  <si>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</si>
  <si>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</si>
  <si>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</si>
  <si>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</si>
  <si>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</si>
  <si>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</si>
  <si>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</si>
  <si>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</si>
  <si>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</si>
  <si>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</si>
  <si>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</si>
  <si>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</si>
  <si>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</si>
  <si>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</si>
  <si>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</si>
  <si>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</si>
  <si>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</si>
  <si>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</si>
  <si>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</si>
  <si>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</si>
  <si>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</si>
  <si>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</si>
  <si>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</si>
  <si>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</si>
  <si>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</si>
  <si>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</si>
  <si>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</si>
  <si>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</si>
  <si>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</si>
  <si>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</si>
  <si>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</si>
  <si>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</si>
  <si>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</si>
  <si>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</si>
  <si>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</si>
  <si>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</si>
  <si>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</si>
  <si>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</si>
  <si>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</si>
  <si>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</si>
  <si>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</si>
  <si>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</si>
  <si>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</si>
  <si>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</si>
  <si>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</si>
  <si>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</si>
  <si>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</si>
  <si>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</si>
  <si>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</si>
  <si>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</si>
  <si>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</si>
  <si>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</si>
  <si>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</si>
  <si>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</si>
  <si>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</si>
  <si>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</si>
  <si>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</si>
  <si>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</si>
  <si>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</si>
  <si>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</si>
  <si>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</si>
  <si>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</si>
  <si>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</si>
  <si>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</si>
  <si>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</si>
  <si>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</si>
  <si>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</si>
  <si>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</si>
  <si>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</si>
  <si>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</si>
  <si>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</si>
  <si>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</si>
  <si>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</si>
  <si>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</si>
  <si>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</si>
  <si>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</si>
  <si>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</si>
  <si>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</si>
  <si>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</si>
  <si>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</si>
  <si>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</si>
  <si>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</si>
  <si>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</si>
  <si>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</si>
  <si>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</si>
  <si>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</si>
  <si>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</si>
  <si>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</si>
  <si>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</si>
  <si>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</si>
  <si>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</si>
  <si>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</si>
  <si>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</si>
  <si>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</si>
  <si>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</si>
  <si>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</si>
  <si>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</si>
  <si>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</si>
  <si>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</si>
  <si>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</si>
  <si>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</si>
  <si>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</si>
  <si>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</si>
  <si>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</si>
  <si>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</si>
  <si>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</si>
  <si>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</si>
  <si>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</si>
  <si>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</si>
  <si>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</si>
  <si>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</si>
  <si>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</si>
  <si>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</si>
  <si>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</si>
  <si>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</si>
  <si>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</si>
  <si>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</si>
  <si>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</si>
  <si>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</si>
  <si>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</si>
  <si>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</si>
  <si>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</si>
  <si>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</si>
  <si>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</si>
  <si>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</si>
  <si>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</si>
  <si>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</si>
  <si>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</si>
  <si>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</si>
  <si>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</si>
  <si>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</si>
  <si>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</si>
  <si>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</si>
  <si>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</si>
  <si>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</si>
  <si>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</si>
  <si>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</si>
  <si>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</si>
  <si>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</si>
  <si>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</si>
  <si>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</si>
  <si>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</si>
  <si>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</si>
  <si>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</si>
  <si>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</si>
  <si>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</si>
  <si>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</si>
  <si>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</si>
  <si>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</si>
  <si>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</si>
  <si>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</si>
  <si>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</si>
  <si>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</si>
  <si>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</si>
  <si>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</si>
  <si>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</si>
  <si>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</si>
  <si>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</si>
  <si>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</si>
  <si>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</si>
  <si>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</si>
  <si>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</si>
  <si>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</si>
  <si>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</si>
  <si>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</si>
  <si>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</si>
  <si>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</si>
  <si>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</si>
  <si>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</si>
  <si>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</si>
  <si>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</si>
  <si>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</si>
  <si>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</si>
  <si>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</si>
  <si>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</si>
  <si>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</si>
  <si>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</si>
  <si>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</si>
  <si>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</si>
  <si>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</si>
  <si>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</si>
  <si>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</si>
  <si>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</si>
  <si>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</si>
  <si>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</si>
  <si>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</si>
  <si>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</si>
  <si>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</si>
  <si>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</si>
  <si>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</si>
  <si>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</si>
  <si>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</si>
  <si>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</si>
  <si>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</si>
  <si>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</si>
  <si>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</si>
  <si>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</si>
  <si>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</si>
  <si>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</si>
  <si>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</si>
  <si>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</si>
  <si>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</si>
  <si>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</si>
  <si>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</si>
  <si>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</si>
  <si>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</si>
  <si>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</si>
  <si>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</si>
  <si>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</si>
  <si>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</si>
  <si>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</si>
  <si>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</si>
  <si>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</si>
  <si>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</si>
  <si>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</si>
  <si>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</si>
  <si>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</si>
  <si>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</si>
  <si>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</si>
  <si>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</si>
  <si>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</si>
  <si>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</si>
  <si>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</si>
  <si>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</si>
  <si>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</si>
  <si>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</si>
  <si>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</si>
  <si>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</si>
  <si>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</si>
  <si>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</si>
  <si>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</si>
  <si>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</si>
  <si>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</si>
  <si>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</si>
  <si>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</si>
  <si>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</si>
  <si>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</si>
  <si>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</si>
  <si>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</si>
  <si>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</si>
  <si>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</si>
  <si>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</si>
  <si>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</si>
  <si>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</si>
  <si>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</si>
  <si>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</si>
  <si>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</si>
  <si>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</si>
  <si>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</si>
  <si>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</si>
  <si>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</si>
  <si>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</si>
  <si>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</si>
  <si>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</si>
  <si>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</si>
  <si>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</si>
  <si>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</si>
  <si>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</si>
  <si>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</si>
  <si>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</si>
  <si>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</si>
  <si>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</si>
  <si>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</si>
  <si>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</si>
  <si>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</si>
  <si>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</si>
  <si>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</si>
  <si>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</si>
  <si>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</si>
  <si>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</si>
  <si>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</si>
  <si>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</si>
  <si>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</si>
  <si>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</si>
  <si>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</si>
  <si>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</si>
  <si>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</si>
  <si>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</si>
  <si>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</si>
  <si>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</si>
  <si>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</si>
  <si>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</si>
  <si>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</si>
  <si>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</si>
  <si>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</si>
  <si>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</si>
  <si>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</si>
  <si>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</si>
  <si>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</si>
  <si>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</si>
  <si>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</si>
  <si>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</si>
  <si>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</si>
  <si>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</si>
  <si>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</si>
  <si>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</si>
  <si>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</si>
  <si>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</si>
  <si>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</si>
  <si>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</si>
  <si>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</si>
  <si>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</si>
  <si>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</si>
  <si>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</si>
  <si>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</si>
  <si>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</si>
  <si>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</si>
  <si>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</si>
  <si>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</si>
  <si>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</si>
  <si>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</si>
  <si>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</si>
  <si>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</si>
  <si>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</si>
  <si>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</si>
  <si>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</si>
  <si>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</si>
  <si>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</si>
  <si>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</si>
  <si>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</si>
  <si>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</si>
  <si>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</si>
  <si>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</si>
  <si>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</si>
  <si>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</si>
  <si>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</si>
  <si>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</si>
  <si>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</si>
  <si>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</si>
  <si>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</si>
  <si>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</si>
  <si>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</si>
  <si>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</si>
  <si>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</si>
  <si>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</si>
  <si>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</si>
  <si>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</si>
  <si>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</si>
  <si>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</si>
  <si>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</si>
  <si>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</si>
  <si>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</si>
  <si>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</si>
  <si>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</si>
  <si>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</si>
  <si>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</si>
  <si>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</si>
  <si>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</si>
  <si>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</si>
  <si>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</si>
  <si>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</si>
  <si>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</si>
  <si>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</si>
  <si>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</si>
  <si>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</si>
  <si>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</si>
  <si>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</si>
  <si>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</si>
  <si>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</si>
  <si>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</si>
  <si>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</si>
  <si>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</si>
  <si>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</si>
  <si>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</si>
  <si>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</si>
  <si>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</si>
  <si>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</si>
  <si>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</si>
  <si>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</si>
  <si>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</si>
  <si>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</si>
  <si>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</si>
  <si>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</si>
  <si>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</si>
  <si>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</si>
  <si>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</si>
  <si>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</si>
  <si>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</si>
  <si>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</si>
  <si>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</si>
  <si>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</si>
  <si>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</si>
  <si>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</si>
  <si>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</si>
  <si>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</si>
  <si>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</si>
  <si>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</si>
  <si>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</si>
  <si>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</si>
  <si>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</si>
  <si>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</si>
  <si>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</si>
  <si>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</si>
  <si>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</si>
  <si>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</si>
  <si>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</si>
  <si>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</si>
  <si>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</si>
  <si>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</si>
  <si>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</si>
  <si>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</si>
  <si>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</si>
  <si>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</si>
  <si>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</si>
  <si>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</si>
  <si>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</si>
  <si>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</si>
  <si>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</si>
  <si>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</si>
  <si>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</si>
  <si>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</si>
  <si>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</si>
  <si>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</si>
  <si>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</si>
  <si>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</si>
  <si>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</si>
  <si>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</si>
  <si>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</si>
  <si>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</si>
  <si>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</si>
  <si>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</si>
  <si>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</si>
  <si>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</si>
  <si>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</si>
  <si>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</si>
  <si>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</si>
  <si>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</si>
  <si>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</si>
  <si>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</si>
  <si>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</si>
  <si>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</si>
  <si>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</si>
  <si>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</si>
  <si>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</si>
  <si>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</si>
  <si>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</si>
  <si>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</si>
  <si>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</si>
  <si>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</si>
  <si>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</si>
  <si>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</si>
  <si>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</si>
  <si>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</si>
  <si>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</si>
  <si>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</si>
  <si>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</si>
  <si>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</si>
  <si>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</si>
  <si>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</si>
  <si>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</si>
  <si>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</si>
  <si>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</si>
  <si>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</si>
  <si>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</si>
  <si>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</si>
  <si>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</si>
  <si>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</si>
  <si>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</si>
  <si>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</si>
  <si>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</si>
  <si>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</si>
  <si>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</si>
  <si>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</si>
  <si>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</si>
  <si>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</si>
  <si>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</si>
  <si>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</si>
  <si>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</si>
  <si>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</si>
  <si>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</si>
  <si>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</si>
  <si>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</si>
  <si>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</si>
  <si>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</si>
  <si>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</si>
  <si>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</si>
  <si>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</si>
  <si>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</si>
  <si>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</si>
  <si>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</si>
  <si>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</si>
  <si>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</si>
  <si>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</si>
  <si>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</si>
  <si>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</si>
  <si>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</si>
  <si>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</si>
  <si>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</si>
  <si>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</si>
  <si>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</si>
  <si>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</si>
  <si>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</si>
  <si>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</si>
  <si>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</si>
  <si>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</si>
  <si>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</si>
  <si>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</si>
  <si>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</si>
  <si>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</si>
  <si>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</si>
  <si>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</si>
  <si>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</si>
  <si>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</si>
  <si>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</si>
  <si>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</si>
  <si>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</si>
  <si>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</si>
  <si>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</si>
  <si>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</si>
  <si>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</si>
  <si>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</si>
  <si>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</si>
  <si>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</si>
  <si>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</si>
  <si>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</si>
  <si>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</si>
  <si>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</si>
  <si>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</si>
  <si>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</si>
  <si>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</si>
  <si>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</si>
  <si>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</si>
  <si>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</si>
  <si>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</si>
  <si>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</si>
  <si>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</si>
  <si>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</si>
  <si>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</si>
  <si>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</si>
  <si>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</si>
  <si>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</si>
  <si>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</si>
  <si>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</si>
  <si>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</si>
  <si>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</si>
  <si>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</si>
  <si>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</si>
  <si>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</si>
  <si>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</si>
  <si>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</si>
  <si>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</si>
  <si>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</si>
  <si>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</si>
  <si>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</si>
  <si>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</si>
  <si>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</si>
  <si>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</si>
  <si>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</si>
  <si>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</si>
  <si>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</si>
  <si>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</si>
  <si>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</si>
  <si>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</si>
  <si>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</si>
  <si>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</si>
  <si>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</si>
  <si>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</si>
  <si>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</si>
  <si>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</si>
  <si>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</si>
  <si>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</si>
  <si>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</si>
  <si>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</si>
  <si>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</si>
  <si>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</si>
  <si>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</si>
  <si>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</si>
  <si>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</si>
  <si>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</si>
  <si>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</si>
  <si>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</si>
  <si>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</si>
  <si>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</si>
  <si>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</si>
  <si>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</si>
  <si>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</si>
  <si>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</si>
  <si>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</si>
  <si>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</si>
  <si>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</si>
  <si>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</si>
  <si>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</si>
  <si>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</si>
  <si>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</si>
  <si>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</si>
  <si>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</si>
  <si>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</si>
  <si>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</si>
  <si>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</si>
  <si>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</si>
  <si>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</si>
  <si>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</si>
  <si>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</si>
  <si>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</si>
  <si>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</si>
  <si>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</si>
  <si>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</si>
  <si>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</si>
  <si>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</si>
  <si>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</si>
  <si>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</si>
  <si>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</si>
  <si>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</si>
  <si>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</si>
  <si>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</si>
  <si>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</si>
  <si>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</si>
  <si>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</si>
  <si>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</si>
  <si>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</si>
  <si>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</si>
  <si>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</si>
  <si>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</si>
  <si>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</si>
  <si>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</si>
  <si>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</si>
  <si>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</si>
  <si>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</si>
  <si>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</si>
  <si>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</si>
  <si>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</si>
  <si>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</si>
  <si>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</si>
  <si>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</si>
  <si>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</si>
  <si>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</si>
  <si>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</si>
  <si>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</si>
  <si>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</si>
  <si>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</si>
  <si>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</si>
  <si>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</si>
  <si>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</si>
  <si>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</si>
  <si>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</si>
  <si>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</si>
  <si>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</si>
  <si>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</si>
  <si>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</si>
  <si>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</si>
  <si>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</si>
  <si>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</si>
  <si>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</si>
  <si>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</si>
  <si>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</si>
  <si>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</si>
  <si>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</si>
  <si>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</si>
  <si>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</si>
  <si>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</si>
  <si>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</si>
  <si>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</si>
  <si>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</si>
  <si>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</si>
  <si>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</si>
  <si>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</si>
  <si>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</si>
  <si>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</si>
  <si>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</si>
  <si>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</si>
  <si>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</si>
  <si>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</si>
  <si>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</si>
  <si>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</si>
  <si>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</si>
  <si>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</si>
  <si>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</si>
  <si>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</si>
  <si>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</si>
  <si>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</si>
  <si>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</si>
  <si>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</si>
  <si>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</si>
  <si>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</si>
  <si>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</si>
  <si>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</si>
  <si>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</si>
  <si>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</si>
  <si>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</si>
  <si>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</si>
  <si>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</si>
  <si>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</si>
  <si>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</si>
  <si>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</si>
  <si>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</si>
  <si>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</si>
  <si>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</si>
  <si>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</si>
  <si>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</si>
  <si>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</si>
  <si>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</si>
  <si>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</si>
  <si>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</si>
  <si>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</si>
  <si>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</si>
  <si>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</si>
  <si>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</si>
  <si>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</si>
  <si>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</si>
  <si>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</si>
  <si>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</si>
  <si>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</si>
  <si>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</si>
  <si>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</si>
  <si>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</si>
  <si>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</si>
  <si>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</si>
  <si>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</si>
  <si>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</si>
  <si>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</si>
  <si>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</si>
  <si>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</si>
  <si>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</si>
  <si>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</si>
  <si>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</si>
  <si>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</si>
  <si>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</si>
  <si>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</si>
  <si>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</si>
  <si>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</si>
  <si>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</si>
  <si>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</si>
  <si>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</si>
  <si>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</si>
  <si>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</si>
  <si>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</si>
  <si>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</si>
  <si>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</si>
  <si>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</si>
  <si>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</si>
  <si>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</si>
  <si>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</si>
  <si>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</si>
  <si>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</si>
  <si>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</si>
  <si>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</si>
  <si>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</si>
  <si>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</si>
  <si>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</si>
  <si>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</si>
  <si>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</si>
  <si>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</si>
  <si>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</si>
  <si>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</si>
  <si>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</si>
  <si>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</si>
  <si>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</si>
  <si>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</si>
  <si>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</si>
  <si>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</si>
  <si>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</si>
  <si>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</si>
  <si>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</si>
  <si>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</si>
  <si>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</si>
  <si>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</si>
  <si>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</si>
  <si>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</si>
  <si>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</si>
  <si>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</si>
  <si>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</si>
  <si>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</si>
  <si>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</si>
  <si>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</si>
  <si>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</si>
  <si>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</si>
  <si>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</si>
  <si>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</si>
  <si>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</si>
  <si>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</si>
  <si>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</si>
  <si>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</si>
  <si>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</si>
  <si>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</si>
  <si>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</si>
  <si>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</si>
  <si>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</si>
  <si>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</si>
  <si>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</si>
  <si>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</si>
  <si>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</si>
  <si>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</si>
  <si>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</si>
  <si>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</si>
  <si>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</si>
  <si>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</si>
  <si>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</si>
  <si>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</si>
  <si>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</si>
  <si>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</si>
  <si>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</si>
  <si>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</si>
  <si>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</si>
  <si>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</si>
  <si>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</si>
  <si>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</si>
  <si>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</si>
  <si>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</si>
  <si>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</si>
  <si>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</si>
  <si>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</si>
  <si>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</si>
  <si>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</si>
  <si>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</si>
  <si>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</si>
  <si>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</si>
  <si>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</si>
  <si>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</si>
  <si>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</si>
  <si>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</si>
  <si>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</si>
  <si>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</si>
  <si>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</si>
  <si>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</si>
  <si>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</si>
  <si>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</si>
  <si>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</si>
  <si>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</si>
  <si>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</si>
  <si>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</si>
  <si>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</si>
  <si>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</si>
  <si>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</si>
  <si>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</si>
  <si>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</si>
  <si>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</si>
  <si>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</si>
  <si>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</si>
  <si>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</si>
  <si>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</si>
  <si>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</si>
  <si>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</si>
  <si>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</si>
  <si>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</si>
  <si>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</si>
  <si>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</si>
  <si>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</si>
  <si>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</si>
  <si>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</si>
  <si>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</si>
  <si>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</si>
  <si>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</si>
  <si>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</si>
  <si>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</si>
  <si>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</si>
  <si>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</si>
  <si>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</si>
  <si>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</si>
  <si>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</si>
  <si>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</si>
  <si>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</si>
  <si>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</si>
  <si>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</si>
  <si>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</si>
  <si>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</si>
  <si>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</si>
  <si>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</si>
  <si>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</si>
  <si>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</si>
  <si>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</si>
  <si>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</si>
  <si>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</si>
  <si>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</si>
  <si>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</si>
  <si>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</si>
  <si>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</si>
  <si>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</si>
  <si>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</si>
  <si>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</si>
  <si>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</si>
  <si>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</si>
  <si>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</si>
  <si>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</si>
  <si>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</si>
  <si>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</si>
  <si>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</si>
  <si>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</si>
  <si>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</si>
  <si>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</si>
  <si>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</si>
  <si>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</si>
  <si>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</si>
  <si>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</si>
  <si>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</si>
  <si>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</si>
  <si>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</si>
  <si>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</si>
  <si>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</si>
  <si>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</si>
  <si>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</si>
  <si>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</si>
  <si>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</si>
  <si>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</si>
  <si>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</si>
  <si>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</si>
  <si>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</si>
  <si>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</si>
  <si>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</si>
  <si>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</si>
  <si>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</si>
  <si>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</si>
  <si>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</si>
  <si>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</si>
  <si>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</si>
  <si>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</si>
  <si>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</si>
  <si>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</si>
  <si>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</si>
  <si>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</si>
  <si>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</si>
  <si>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</si>
  <si>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</si>
  <si>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</si>
  <si>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</si>
  <si>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</si>
  <si>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</si>
  <si>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</si>
  <si>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</si>
  <si>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</si>
  <si>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</si>
  <si>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</si>
  <si>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</si>
  <si>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</si>
  <si>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</si>
  <si>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</si>
  <si>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</si>
  <si>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</si>
  <si>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</si>
  <si>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</si>
  <si>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</si>
  <si>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</si>
  <si>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</si>
  <si>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</si>
  <si>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</si>
  <si>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</si>
  <si>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</si>
  <si>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</si>
  <si>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</si>
  <si>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</si>
  <si>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</si>
  <si>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</si>
  <si>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</si>
  <si>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</si>
  <si>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</si>
  <si>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</si>
  <si>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</si>
  <si>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</si>
  <si>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</si>
  <si>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</si>
  <si>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</si>
  <si>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</si>
  <si>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</si>
  <si>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</si>
  <si>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</si>
  <si>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</si>
  <si>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</si>
  <si>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</si>
  <si>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</si>
  <si>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</si>
  <si>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</si>
  <si>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</si>
  <si>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</si>
  <si>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</si>
  <si>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</si>
  <si>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</si>
  <si>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</si>
  <si>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</si>
  <si>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</si>
  <si>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</si>
  <si>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</si>
  <si>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</si>
  <si>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</si>
  <si>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</si>
  <si>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</si>
  <si>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</si>
  <si>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</si>
  <si>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</si>
  <si>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</si>
  <si>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</si>
  <si>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</si>
  <si>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</si>
  <si>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</si>
  <si>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</si>
  <si>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</si>
  <si>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</si>
  <si>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</si>
  <si>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</si>
  <si>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</si>
  <si>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</si>
  <si>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</si>
  <si>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</si>
  <si>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</si>
  <si>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</si>
  <si>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</si>
  <si>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</si>
  <si>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</si>
  <si>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</si>
  <si>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</si>
  <si>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</si>
  <si>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</si>
  <si>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</si>
  <si>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</si>
  <si>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</si>
  <si>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</si>
  <si>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</si>
  <si>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</si>
  <si>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</si>
  <si>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</si>
  <si>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</si>
  <si>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</si>
  <si>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</si>
  <si>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</si>
  <si>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</si>
  <si>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</si>
  <si>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</si>
  <si>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</si>
  <si>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</si>
  <si>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</si>
  <si>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</si>
  <si>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</si>
  <si>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</si>
  <si>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</si>
  <si>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</si>
  <si>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</si>
  <si>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</si>
  <si>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</si>
  <si>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</si>
  <si>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</si>
  <si>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</si>
  <si>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</si>
  <si>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</si>
  <si>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</si>
  <si>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</si>
  <si>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</si>
  <si>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</si>
  <si>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</si>
  <si>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</si>
  <si>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</si>
  <si>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</si>
  <si>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</si>
  <si>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</si>
  <si>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</si>
  <si>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</si>
  <si>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</si>
  <si>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</si>
  <si>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</si>
  <si>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</si>
  <si>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</si>
  <si>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</si>
  <si>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</si>
  <si>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</si>
  <si>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</si>
  <si>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</si>
  <si>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</si>
  <si>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</si>
  <si>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</si>
  <si>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</si>
  <si>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</si>
  <si>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</si>
  <si>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</si>
  <si>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</si>
  <si>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</si>
  <si>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</si>
  <si>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</si>
  <si>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</si>
  <si>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</si>
  <si>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</si>
  <si>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</si>
  <si>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</si>
  <si>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</si>
  <si>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</si>
  <si>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</si>
  <si>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</si>
  <si>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</si>
  <si>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</si>
  <si>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</si>
  <si>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</si>
  <si>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</si>
  <si>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</si>
  <si>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</si>
  <si>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</si>
  <si>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</si>
  <si>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</si>
  <si>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</si>
  <si>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</si>
  <si>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</si>
  <si>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</si>
  <si>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</si>
  <si>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</si>
  <si>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</si>
  <si>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</si>
  <si>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</si>
  <si>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</si>
  <si>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</si>
  <si>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</si>
  <si>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</si>
  <si>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</si>
  <si>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</si>
  <si>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</si>
  <si>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</si>
  <si>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</si>
  <si>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</si>
  <si>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</si>
  <si>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</si>
  <si>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</si>
  <si>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</si>
  <si>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</si>
  <si>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</si>
  <si>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</si>
  <si>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</si>
  <si>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</si>
  <si>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</si>
  <si>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</si>
  <si>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</si>
  <si>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</si>
  <si>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</si>
  <si>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</si>
  <si>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</si>
  <si>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</si>
  <si>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</si>
  <si>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</si>
  <si>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</si>
  <si>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</si>
  <si>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</si>
  <si>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</si>
  <si>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</si>
  <si>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</si>
  <si>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</si>
  <si>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</si>
  <si>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</si>
  <si>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</si>
  <si>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</si>
  <si>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</si>
  <si>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</si>
  <si>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</si>
  <si>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</si>
  <si>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</si>
  <si>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</si>
  <si>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</si>
  <si>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</si>
  <si>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</si>
  <si>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</si>
  <si>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</si>
  <si>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</si>
  <si>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</si>
  <si>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</si>
  <si>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</si>
  <si>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</si>
  <si>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</si>
  <si>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</si>
  <si>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</si>
  <si>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</si>
  <si>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</si>
  <si>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</si>
  <si>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</si>
  <si>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</si>
  <si>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</si>
  <si>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</si>
  <si>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</si>
  <si>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</si>
  <si>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</si>
  <si>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</si>
  <si>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</si>
  <si>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</si>
  <si>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</si>
  <si>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</si>
  <si>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</si>
  <si>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</si>
  <si>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</si>
  <si>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</si>
  <si>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</si>
  <si>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</si>
  <si>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</si>
  <si>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</si>
  <si>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</si>
  <si>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</si>
  <si>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</si>
  <si>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</si>
  <si>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</si>
  <si>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</si>
  <si>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</si>
  <si>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</si>
  <si>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</si>
  <si>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</si>
  <si>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</si>
  <si>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</si>
  <si>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</si>
  <si>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</si>
  <si>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</si>
  <si>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</si>
  <si>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</si>
  <si>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</si>
  <si>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</si>
  <si>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</si>
  <si>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</si>
  <si>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</si>
  <si>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</si>
  <si>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</si>
  <si>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</si>
  <si>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</si>
  <si>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</si>
  <si>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</si>
  <si>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</si>
  <si>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</si>
  <si>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</si>
  <si>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</si>
  <si>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</si>
  <si>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</si>
  <si>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</si>
  <si>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</si>
  <si>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</si>
  <si>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</si>
  <si>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</si>
  <si>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</si>
  <si>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</si>
  <si>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</si>
  <si>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</si>
  <si>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</si>
  <si>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</si>
  <si>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</si>
  <si>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</si>
  <si>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</si>
  <si>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</si>
  <si>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</si>
  <si>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</si>
  <si>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</si>
  <si>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</si>
  <si>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</si>
  <si>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</si>
  <si>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</si>
  <si>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</si>
  <si>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</si>
  <si>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</si>
  <si>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</si>
  <si>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</si>
  <si>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</si>
  <si>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</si>
  <si>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</si>
  <si>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</si>
  <si>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</si>
  <si>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</si>
  <si>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</si>
  <si>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</si>
  <si>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</si>
  <si>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</si>
  <si>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</si>
  <si>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</si>
  <si>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</si>
  <si>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</si>
  <si>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</si>
  <si>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</si>
  <si>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</si>
  <si>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</si>
  <si>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</si>
  <si>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</si>
  <si>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</si>
  <si>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</si>
  <si>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</si>
  <si>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</si>
  <si>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</si>
  <si>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</si>
  <si>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</si>
  <si>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</si>
  <si>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</si>
  <si>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</si>
  <si>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</si>
  <si>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</si>
  <si>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</si>
  <si>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</si>
  <si>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</si>
  <si>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</si>
  <si>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</si>
  <si>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</si>
  <si>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</si>
  <si>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</si>
  <si>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</si>
  <si>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</si>
  <si>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</si>
  <si>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</si>
  <si>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</si>
  <si>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</si>
  <si>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</si>
  <si>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</si>
  <si>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</si>
  <si>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</si>
  <si>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</si>
  <si>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</si>
  <si>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</si>
  <si>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</si>
  <si>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</si>
  <si>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</si>
  <si>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</si>
  <si>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</si>
  <si>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</si>
  <si>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</si>
  <si>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</si>
  <si>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</si>
  <si>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</si>
  <si>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</si>
  <si>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</si>
  <si>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</si>
  <si>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</si>
  <si>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</si>
  <si>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</si>
  <si>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</si>
  <si>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</si>
  <si>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</si>
  <si>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</si>
  <si>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</si>
  <si>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</si>
  <si>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</si>
  <si>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</si>
  <si>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</si>
  <si>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</si>
  <si>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</si>
  <si>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</si>
  <si>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</si>
  <si>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</si>
  <si>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</si>
  <si>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</si>
  <si>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</si>
  <si>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</si>
  <si>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</si>
  <si>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</si>
  <si>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</si>
  <si>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</si>
  <si>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</si>
  <si>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</si>
  <si>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</si>
  <si>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</si>
  <si>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</si>
  <si>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</si>
  <si>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</si>
  <si>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</si>
  <si>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</si>
  <si>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</si>
  <si>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</si>
  <si>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</si>
  <si>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</si>
  <si>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</si>
  <si>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</si>
  <si>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</si>
  <si>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</si>
  <si>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</si>
  <si>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</si>
  <si>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</si>
  <si>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</si>
  <si>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</si>
  <si>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</si>
  <si>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</si>
  <si>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</si>
  <si>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</si>
  <si>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</si>
  <si>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</si>
  <si>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</si>
  <si>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</si>
  <si>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</si>
  <si>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</si>
  <si>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</si>
  <si>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</si>
  <si>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</si>
  <si>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</si>
  <si>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</si>
  <si>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</si>
  <si>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</si>
  <si>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</si>
  <si>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</si>
  <si>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</si>
  <si>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</si>
  <si>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</si>
  <si>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</si>
  <si>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</si>
  <si>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</si>
  <si>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</si>
  <si>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</si>
  <si>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</si>
  <si>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</si>
  <si>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</si>
  <si>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</si>
  <si>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</si>
  <si>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</si>
  <si>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</si>
  <si>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</si>
  <si>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</si>
  <si>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</si>
  <si>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</si>
  <si>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</si>
  <si>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</si>
  <si>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</si>
  <si>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</si>
  <si>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</si>
  <si>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</si>
  <si>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</si>
  <si>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</si>
  <si>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</si>
  <si>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</si>
  <si>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</si>
  <si>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</si>
  <si>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</si>
  <si>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</si>
  <si>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</si>
  <si>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</si>
  <si>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</si>
  <si>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</si>
  <si>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</si>
  <si>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</si>
  <si>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</si>
  <si>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</si>
  <si>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</si>
  <si>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</si>
  <si>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</si>
  <si>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</si>
  <si>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</si>
  <si>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</si>
  <si>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</si>
  <si>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</si>
  <si>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</si>
  <si>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</si>
  <si>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</si>
  <si>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</si>
  <si>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</si>
  <si>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</si>
  <si>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</si>
  <si>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</si>
  <si>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</si>
  <si>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</si>
  <si>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</si>
  <si>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</si>
  <si>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</si>
  <si>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</si>
  <si>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</si>
  <si>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</si>
  <si>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</si>
  <si>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</si>
  <si>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</si>
  <si>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</si>
  <si>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</si>
  <si>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</si>
  <si>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</si>
  <si>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</si>
  <si>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</si>
  <si>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</si>
  <si>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</si>
  <si>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</si>
  <si>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</si>
  <si>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</si>
  <si>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</si>
  <si>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</si>
  <si>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</si>
  <si>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</si>
  <si>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</si>
  <si>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</si>
  <si>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</si>
  <si>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</si>
  <si>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</si>
  <si>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</si>
  <si>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</si>
  <si>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</si>
  <si>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</si>
  <si>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</si>
  <si>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</si>
  <si>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</si>
  <si>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</si>
  <si>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</si>
  <si>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</si>
  <si>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</si>
  <si>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</si>
  <si>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</si>
  <si>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</si>
  <si>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</si>
  <si>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</si>
  <si>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</si>
  <si>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</si>
  <si>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</si>
  <si>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</si>
  <si>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</si>
  <si>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</si>
  <si>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</si>
  <si>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</si>
  <si>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</si>
  <si>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</si>
  <si>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</si>
  <si>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</si>
  <si>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</si>
  <si>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</si>
  <si>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</si>
  <si>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</si>
  <si>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</si>
  <si>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</si>
  <si>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</si>
  <si>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</si>
  <si>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</si>
  <si>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</si>
  <si>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</si>
  <si>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</si>
  <si>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</si>
  <si>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</si>
  <si>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</si>
  <si>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</si>
  <si>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</si>
  <si>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</si>
  <si>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</si>
  <si>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</si>
  <si>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</si>
  <si>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</si>
  <si>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</si>
  <si>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</si>
  <si>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</si>
  <si>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</si>
  <si>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</si>
  <si>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</si>
  <si>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</si>
  <si>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</si>
  <si>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</si>
  <si>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</si>
  <si>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</si>
  <si>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</si>
  <si>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</si>
  <si>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</si>
  <si>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</si>
  <si>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</si>
  <si>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</si>
  <si>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</si>
  <si>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</si>
  <si>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</si>
  <si>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</si>
  <si>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</si>
  <si>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</si>
  <si>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</si>
  <si>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</si>
  <si>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</si>
  <si>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</si>
  <si>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</si>
  <si>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</si>
  <si>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</si>
  <si>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</si>
  <si>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</si>
  <si>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</si>
  <si>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</si>
  <si>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</si>
  <si>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</si>
  <si>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</si>
  <si>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</si>
  <si>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</si>
  <si>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</si>
  <si>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</si>
  <si>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</si>
  <si>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</si>
  <si>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</si>
  <si>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</si>
  <si>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</si>
  <si>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</si>
  <si>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</si>
  <si>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</si>
  <si>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</si>
  <si>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</si>
  <si>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</si>
  <si>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</si>
  <si>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</si>
  <si>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</si>
  <si>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</si>
  <si>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</si>
  <si>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</si>
  <si>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</si>
  <si>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</si>
  <si>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</si>
  <si>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</si>
  <si>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</si>
  <si>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</si>
  <si>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</si>
  <si>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</si>
  <si>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</si>
  <si>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</si>
  <si>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</si>
  <si>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</si>
  <si>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</si>
  <si>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</si>
  <si>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</si>
  <si>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</si>
  <si>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</si>
  <si>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</si>
  <si>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</si>
  <si>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</si>
  <si>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</si>
  <si>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</si>
  <si>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</si>
  <si>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</si>
  <si>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</si>
  <si>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</si>
  <si>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</si>
  <si>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</si>
  <si>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</si>
  <si>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</si>
  <si>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</si>
  <si>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</si>
  <si>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</si>
  <si>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</si>
  <si>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</si>
  <si>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</si>
  <si>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</si>
  <si>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</si>
  <si>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</si>
  <si>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</si>
  <si>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</si>
  <si>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</si>
  <si>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</si>
  <si>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</si>
  <si>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</si>
  <si>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</si>
  <si>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</si>
  <si>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</si>
  <si>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</si>
  <si>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</si>
  <si>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</si>
  <si>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</si>
  <si>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</si>
  <si>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</si>
  <si>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</si>
  <si>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</si>
  <si>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</si>
  <si>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</si>
  <si>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</si>
  <si>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</si>
  <si>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</si>
  <si>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</si>
  <si>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</si>
  <si>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</si>
  <si>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</si>
  <si>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</si>
  <si>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</si>
  <si>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</si>
  <si>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</si>
  <si>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</si>
  <si>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</si>
  <si>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</si>
  <si>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</si>
  <si>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</si>
  <si>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</si>
  <si>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</si>
  <si>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</si>
  <si>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</si>
  <si>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</si>
  <si>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</si>
  <si>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</si>
  <si>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</si>
  <si>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</si>
  <si>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</si>
  <si>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</si>
  <si>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</si>
  <si>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</si>
  <si>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</si>
  <si>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</si>
  <si>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</si>
  <si>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</si>
  <si>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</si>
  <si>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</si>
  <si>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</si>
  <si>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</si>
  <si>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</si>
  <si>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</si>
  <si>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</si>
  <si>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</si>
  <si>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</si>
  <si>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</si>
  <si>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</si>
  <si>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</si>
  <si>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</si>
  <si>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</si>
  <si>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</si>
  <si>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</si>
  <si>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</si>
  <si>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</si>
  <si>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</si>
  <si>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</si>
  <si>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</si>
  <si>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</si>
  <si>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</si>
  <si>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</si>
  <si>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</si>
  <si>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</si>
  <si>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</si>
  <si>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</si>
  <si>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</si>
  <si>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</si>
  <si>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</si>
  <si>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</si>
  <si>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</si>
  <si>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</si>
  <si>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</si>
  <si>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</si>
  <si>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</si>
  <si>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</si>
  <si>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</si>
  <si>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</si>
  <si>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</si>
  <si>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</si>
  <si>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</si>
  <si>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</si>
  <si>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</si>
  <si>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</si>
  <si>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</si>
  <si>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</si>
  <si>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</si>
  <si>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</si>
  <si>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</si>
  <si>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</si>
  <si>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</si>
  <si>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</si>
  <si>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</si>
  <si>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</si>
  <si>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</si>
  <si>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</si>
  <si>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</si>
  <si>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</si>
  <si>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</si>
  <si>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</si>
  <si>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</si>
  <si>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</si>
  <si>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</si>
  <si>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</si>
  <si>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</si>
  <si>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</si>
  <si>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</si>
  <si>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</si>
  <si>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</si>
  <si>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</si>
  <si>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</si>
  <si>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</si>
  <si>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</si>
  <si>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</si>
  <si>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</si>
  <si>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</si>
  <si>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</si>
  <si>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</si>
  <si>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</si>
  <si>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</si>
  <si>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</si>
  <si>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</si>
  <si>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</si>
  <si>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</si>
  <si>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</si>
  <si>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</si>
  <si>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</si>
  <si>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</si>
  <si>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</si>
  <si>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</si>
  <si>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</si>
  <si>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</si>
  <si>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</si>
  <si>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</si>
  <si>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</si>
  <si>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</si>
  <si>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</si>
  <si>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</si>
  <si>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</si>
  <si>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</si>
  <si>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</si>
  <si>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</si>
  <si>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</si>
  <si>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</si>
  <si>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</si>
  <si>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</si>
  <si>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</si>
  <si>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</si>
  <si>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</si>
  <si>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</si>
  <si>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</si>
  <si>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</si>
  <si>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</si>
  <si>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</si>
  <si>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</si>
  <si>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</si>
  <si>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</si>
  <si>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</si>
  <si>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</si>
  <si>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</si>
  <si>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</si>
  <si>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</si>
  <si>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</si>
  <si>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</si>
  <si>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</si>
  <si>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</si>
  <si>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</si>
  <si>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</si>
  <si>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</si>
  <si>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</si>
  <si>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</si>
  <si>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</si>
  <si>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</si>
  <si>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</si>
  <si>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</si>
  <si>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</si>
  <si>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</si>
  <si>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</si>
  <si>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</si>
  <si>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</si>
  <si>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</si>
  <si>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</si>
  <si>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</si>
  <si>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</si>
  <si>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</si>
  <si>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</si>
  <si>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</si>
  <si>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</si>
  <si>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</si>
  <si>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</si>
  <si>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</si>
  <si>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</si>
  <si>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</si>
  <si>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</si>
  <si>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</si>
  <si>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</si>
  <si>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</si>
  <si>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</si>
  <si>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</si>
  <si>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</si>
  <si>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</si>
  <si>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</si>
  <si>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</si>
  <si>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</si>
  <si>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</si>
  <si>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</si>
  <si>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</si>
  <si>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</si>
  <si>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</si>
  <si>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</si>
  <si>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</si>
  <si>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</si>
  <si>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</si>
  <si>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</si>
  <si>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</si>
  <si>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</si>
  <si>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</si>
  <si>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</si>
  <si>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</si>
  <si>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</si>
  <si>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</si>
  <si>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</si>
  <si>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</si>
  <si>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</si>
  <si>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</si>
  <si>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</si>
  <si>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</si>
  <si>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</si>
  <si>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</si>
  <si>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</si>
  <si>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</si>
  <si>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</si>
  <si>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</si>
  <si>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</si>
  <si>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</si>
  <si>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</si>
  <si>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</si>
  <si>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</si>
  <si>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</si>
  <si>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</si>
  <si>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</si>
  <si>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</si>
  <si>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</si>
  <si>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</si>
  <si>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</si>
  <si>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</si>
  <si>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</si>
  <si>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</si>
  <si>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</si>
  <si>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</si>
  <si>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</si>
  <si>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</si>
  <si>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</si>
  <si>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</si>
  <si>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</si>
  <si>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</si>
  <si>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</si>
  <si>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</si>
  <si>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</si>
  <si>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</si>
  <si>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</si>
  <si>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</si>
  <si>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</si>
  <si>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</si>
  <si>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</si>
  <si>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</si>
  <si>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</si>
  <si>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</si>
  <si>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</si>
  <si>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</si>
  <si>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</si>
  <si>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</si>
  <si>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</si>
  <si>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</si>
  <si>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</si>
  <si>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</si>
  <si>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</si>
  <si>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</si>
  <si>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</si>
  <si>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</si>
  <si>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</si>
  <si>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</si>
  <si>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</si>
  <si>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</si>
  <si>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</si>
  <si>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</si>
  <si>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</si>
  <si>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</si>
  <si>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</si>
  <si>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</si>
  <si>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</si>
  <si>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</si>
  <si>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</si>
  <si>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</si>
  <si>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</si>
  <si>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</si>
  <si>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</si>
  <si>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</si>
  <si>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</si>
  <si>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</si>
  <si>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</si>
  <si>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</si>
  <si>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</si>
  <si>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</si>
  <si>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</si>
  <si>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</si>
  <si>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</si>
  <si>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</si>
  <si>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</si>
  <si>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</si>
  <si>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</si>
  <si>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</si>
  <si>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</si>
  <si>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</si>
  <si>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</si>
  <si>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</si>
  <si>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</si>
  <si>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</si>
  <si>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</si>
  <si>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</si>
  <si>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</si>
  <si>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</si>
  <si>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</si>
  <si>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</si>
  <si>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</si>
  <si>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</si>
  <si>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</si>
  <si>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</si>
  <si>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</si>
  <si>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</si>
  <si>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</si>
  <si>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</si>
  <si>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</si>
  <si>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</si>
  <si>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</si>
  <si>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</si>
  <si>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</si>
  <si>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</si>
  <si>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</si>
  <si>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</si>
  <si>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</si>
  <si>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</si>
  <si>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</si>
  <si>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</si>
  <si>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</si>
  <si>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</si>
  <si>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</si>
  <si>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</si>
  <si>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</si>
  <si>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</si>
  <si>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</si>
  <si>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</si>
  <si>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</si>
  <si>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</si>
  <si>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</si>
  <si>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</si>
  <si>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</si>
  <si>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</si>
  <si>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</si>
  <si>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</si>
  <si>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</si>
  <si>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</si>
  <si>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</si>
  <si>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</si>
  <si>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</si>
  <si>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</si>
  <si>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</si>
  <si>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</si>
  <si>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</si>
  <si>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</si>
  <si>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</si>
  <si>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</si>
  <si>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</si>
  <si>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</si>
  <si>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</si>
  <si>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</si>
  <si>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</si>
  <si>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</si>
  <si>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</si>
  <si>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</si>
  <si>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</si>
  <si>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</si>
  <si>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</si>
  <si>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</si>
  <si>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</si>
  <si>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</si>
  <si>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</si>
  <si>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</si>
  <si>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</si>
  <si>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</si>
  <si>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</si>
  <si>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</si>
  <si>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</si>
  <si>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</si>
  <si>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</si>
  <si>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</si>
  <si>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</si>
  <si>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</si>
  <si>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</si>
  <si>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</si>
  <si>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</si>
  <si>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</si>
  <si>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</si>
  <si>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</si>
  <si>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</si>
  <si>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</si>
  <si>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</si>
  <si>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</si>
  <si>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</si>
  <si>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</si>
  <si>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</si>
  <si>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</si>
  <si>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</si>
  <si>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</si>
  <si>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</si>
  <si>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</si>
  <si>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</si>
  <si>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</si>
  <si>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</si>
  <si>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</si>
  <si>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</si>
  <si>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</si>
  <si>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</si>
  <si>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</si>
  <si>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</si>
  <si>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</si>
  <si>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</si>
  <si>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</si>
  <si>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</si>
  <si>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</si>
  <si>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</si>
  <si>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</si>
  <si>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</si>
  <si>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</si>
  <si>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</si>
  <si>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</si>
  <si>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</si>
  <si>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</si>
  <si>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</si>
  <si>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</si>
  <si>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</si>
  <si>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</si>
  <si>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</si>
  <si>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</si>
  <si>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</si>
  <si>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</si>
  <si>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</si>
  <si>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</si>
  <si>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</si>
  <si>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</si>
  <si>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</si>
  <si>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</si>
  <si>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</si>
  <si>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</si>
  <si>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</si>
  <si>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</si>
  <si>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</si>
  <si>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</si>
  <si>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</si>
  <si>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</si>
  <si>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</si>
  <si>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</si>
  <si>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</si>
  <si>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</si>
  <si>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</si>
  <si>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</si>
  <si>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</si>
  <si>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</si>
  <si>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</si>
  <si>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</si>
  <si>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</si>
  <si>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</si>
  <si>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</si>
  <si>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</si>
  <si>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</si>
  <si>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</si>
  <si>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</si>
  <si>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</si>
  <si>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</si>
  <si>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</si>
  <si>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</si>
  <si>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</si>
  <si>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</si>
  <si>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</si>
  <si>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</si>
  <si>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</si>
  <si>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</si>
  <si>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</si>
  <si>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</si>
  <si>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</si>
  <si>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</si>
  <si>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</si>
  <si>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</si>
  <si>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</si>
  <si>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</si>
  <si>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</si>
  <si>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</si>
  <si>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</si>
  <si>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</si>
  <si>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</si>
  <si>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</si>
  <si>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</si>
  <si>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</si>
  <si>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</si>
  <si>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</si>
  <si>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</si>
  <si>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</si>
  <si>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</si>
  <si>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</si>
  <si>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</si>
  <si>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</si>
  <si>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</si>
  <si>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</si>
  <si>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</si>
  <si>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</si>
  <si>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</si>
  <si>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</si>
  <si>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</si>
  <si>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</si>
  <si>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</si>
  <si>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</si>
  <si>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</si>
  <si>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</si>
  <si>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</si>
  <si>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</si>
  <si>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</si>
  <si>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</si>
  <si>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</si>
  <si>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</si>
  <si>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</si>
  <si>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</si>
  <si>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</si>
  <si>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</si>
  <si>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</si>
  <si>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</si>
  <si>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</si>
  <si>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</si>
  <si>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</si>
  <si>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</si>
  <si>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</si>
  <si>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</si>
  <si>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</si>
  <si>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</si>
  <si>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</si>
  <si>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</si>
  <si>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</si>
  <si>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</si>
  <si>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</si>
  <si>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</si>
  <si>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</si>
  <si>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</si>
  <si>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</si>
  <si>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</si>
  <si>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</si>
  <si>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</si>
  <si>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</si>
  <si>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</si>
  <si>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</si>
  <si>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</si>
  <si>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</si>
  <si>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</si>
  <si>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</si>
  <si>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</si>
  <si>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</si>
  <si>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</si>
  <si>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</si>
  <si>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</si>
  <si>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</si>
  <si>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</si>
  <si>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</si>
  <si>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</si>
  <si>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</si>
  <si>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</si>
  <si>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</si>
  <si>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</si>
  <si>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</si>
  <si>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</si>
  <si>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</si>
  <si>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</si>
  <si>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</si>
  <si>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</si>
  <si>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</si>
  <si>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</si>
  <si>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</si>
  <si>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</si>
  <si>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</si>
  <si>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</si>
  <si>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</si>
  <si>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</si>
  <si>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</si>
  <si>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</si>
  <si>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</si>
  <si>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</si>
  <si>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</si>
  <si>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</si>
  <si>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</si>
  <si>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</si>
  <si>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</si>
  <si>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</si>
  <si>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</si>
  <si>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</si>
  <si>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</si>
  <si>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</si>
  <si>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</si>
  <si>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</si>
  <si>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</si>
  <si>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</si>
  <si>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</si>
  <si>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</si>
  <si>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</si>
  <si>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</si>
  <si>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</si>
  <si>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</si>
  <si>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</si>
  <si>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</si>
  <si>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</si>
  <si>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</si>
  <si>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</si>
  <si>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</si>
  <si>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</si>
  <si>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</si>
  <si>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</si>
  <si>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</si>
  <si>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</si>
  <si>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</si>
  <si>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</si>
  <si>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</si>
  <si>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</si>
  <si>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</si>
  <si>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</si>
  <si>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</si>
  <si>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</si>
  <si>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</si>
  <si>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</si>
  <si>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</si>
  <si>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</si>
  <si>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</si>
  <si>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</si>
  <si>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</si>
  <si>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</si>
  <si>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</si>
  <si>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</si>
  <si>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</si>
  <si>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</si>
  <si>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</si>
  <si>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</si>
  <si>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</si>
  <si>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</si>
  <si>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</si>
  <si>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</si>
  <si>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</si>
  <si>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</si>
  <si>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</si>
  <si>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</si>
  <si>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</si>
  <si>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</si>
  <si>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</si>
  <si>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</si>
  <si>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</si>
  <si>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</si>
  <si>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</si>
  <si>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</si>
  <si>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</si>
  <si>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</si>
  <si>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</si>
  <si>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</si>
  <si>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</si>
  <si>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</si>
  <si>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</si>
  <si>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</si>
  <si>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</si>
  <si>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</si>
  <si>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</si>
  <si>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</si>
  <si>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</si>
  <si>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</si>
  <si>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</si>
  <si>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</si>
  <si>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</si>
  <si>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</si>
  <si>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</si>
  <si>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</si>
  <si>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</si>
  <si>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</si>
  <si>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</si>
  <si>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</si>
  <si>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</si>
  <si>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</si>
  <si>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</si>
  <si>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</si>
  <si>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</si>
  <si>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</si>
  <si>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</si>
  <si>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</si>
  <si>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</si>
  <si>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</si>
  <si>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</si>
  <si>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</si>
  <si>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</si>
  <si>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</si>
  <si>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</si>
  <si>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</si>
  <si>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</si>
  <si>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</si>
  <si>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</si>
  <si>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</si>
  <si>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</si>
  <si>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</si>
  <si>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</si>
  <si>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</si>
  <si>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</si>
  <si>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</si>
  <si>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</si>
  <si>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</si>
  <si>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</si>
  <si>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</si>
  <si>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</si>
  <si>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</si>
  <si>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</si>
  <si>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</si>
  <si>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</si>
  <si>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</si>
  <si>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</si>
  <si>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</si>
  <si>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</si>
  <si>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</si>
  <si>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</si>
  <si>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</si>
  <si>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</si>
  <si>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</si>
  <si>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</si>
  <si>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</si>
  <si>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</si>
  <si>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</si>
  <si>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</si>
  <si>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</si>
  <si>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</si>
  <si>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</si>
  <si>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</si>
  <si>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</si>
  <si>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</si>
  <si>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</si>
  <si>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</si>
  <si>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</si>
  <si>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</si>
  <si>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</si>
  <si>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</si>
  <si>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</si>
  <si>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</si>
  <si>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</si>
  <si>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</si>
  <si>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</si>
  <si>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</si>
  <si>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</si>
  <si>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</si>
  <si>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</si>
  <si>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</si>
  <si>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</si>
  <si>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</si>
  <si>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</si>
  <si>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</si>
  <si>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</si>
  <si>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</si>
  <si>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</si>
  <si>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</si>
  <si>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</si>
  <si>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</si>
  <si>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</si>
  <si>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</si>
  <si>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</si>
  <si>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</si>
  <si>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</si>
  <si>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</si>
  <si>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</si>
  <si>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</si>
  <si>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</si>
  <si>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</si>
  <si>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</si>
  <si>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</si>
  <si>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</si>
  <si>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</si>
  <si>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</si>
  <si>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</si>
  <si>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</si>
  <si>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</si>
  <si>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</si>
  <si>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</si>
  <si>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</si>
  <si>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</si>
  <si>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</si>
  <si>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</si>
  <si>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</si>
  <si>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</si>
  <si>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</si>
  <si>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</si>
  <si>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</si>
  <si>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</si>
  <si>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</si>
  <si>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</si>
  <si>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</si>
  <si>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</si>
  <si>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</si>
  <si>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</si>
  <si>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</si>
  <si>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</si>
  <si>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</si>
  <si>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</si>
  <si>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</si>
  <si>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</si>
  <si>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</si>
  <si>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</si>
  <si>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</si>
  <si>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</si>
  <si>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</si>
  <si>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</si>
  <si>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</si>
  <si>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</si>
  <si>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</si>
  <si>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</si>
  <si>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</si>
  <si>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</si>
  <si>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</si>
  <si>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</si>
  <si>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</si>
  <si>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</si>
  <si>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</si>
  <si>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</si>
  <si>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</si>
  <si>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</si>
  <si>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</si>
  <si>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</si>
  <si>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</si>
  <si>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</si>
  <si>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</si>
  <si>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</si>
  <si>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</si>
  <si>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</si>
  <si>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</si>
  <si>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</si>
  <si>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</si>
  <si>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</si>
  <si>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</si>
  <si>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</si>
  <si>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</si>
  <si>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</si>
  <si>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</si>
  <si>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</si>
  <si>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</si>
  <si>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</si>
  <si>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</si>
  <si>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</si>
  <si>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</si>
  <si>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</si>
  <si>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</si>
  <si>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</si>
  <si>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</si>
  <si>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</si>
  <si>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</si>
  <si>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</si>
  <si>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</si>
  <si>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</si>
  <si>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</si>
  <si>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</si>
  <si>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</si>
  <si>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</si>
  <si>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</si>
  <si>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</si>
  <si>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</si>
  <si>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</si>
  <si>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</si>
  <si>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</si>
  <si>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</si>
  <si>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</si>
  <si>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</si>
  <si>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</si>
  <si>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</si>
  <si>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</si>
  <si>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</si>
  <si>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</si>
  <si>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</si>
  <si>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</si>
  <si>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</si>
  <si>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</si>
  <si>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</si>
  <si>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</si>
  <si>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</si>
  <si>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</si>
  <si>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</si>
  <si>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</si>
  <si>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</si>
  <si>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</si>
  <si>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</si>
  <si>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</si>
  <si>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</si>
  <si>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</si>
  <si>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</si>
  <si>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</si>
  <si>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</si>
  <si>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</si>
  <si>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</si>
  <si>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</si>
  <si>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</si>
  <si>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</si>
  <si>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</si>
  <si>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</si>
  <si>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</si>
  <si>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</si>
  <si>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</si>
  <si>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</si>
  <si>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</si>
  <si>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</si>
  <si>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</si>
  <si>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</si>
  <si>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</si>
  <si>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</si>
  <si>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</si>
  <si>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</si>
  <si>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</si>
  <si>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</si>
  <si>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</si>
  <si>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</si>
  <si>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</si>
  <si>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</si>
  <si>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</si>
  <si>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</si>
  <si>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</si>
  <si>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</si>
  <si>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</si>
  <si>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</si>
  <si>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</si>
  <si>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</si>
  <si>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</si>
  <si>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</si>
  <si>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</si>
  <si>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</si>
  <si>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</si>
  <si>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</si>
  <si>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</si>
  <si>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</si>
  <si>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</si>
  <si>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</si>
  <si>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</si>
  <si>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</si>
  <si>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</si>
  <si>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</si>
  <si>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</si>
  <si>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</si>
  <si>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</si>
  <si>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</si>
  <si>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</si>
  <si>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</si>
  <si>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</si>
  <si>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</si>
  <si>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</si>
  <si>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</si>
  <si>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</si>
  <si>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</si>
  <si>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</si>
  <si>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</si>
  <si>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</si>
  <si>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</si>
  <si>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</si>
  <si>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</si>
  <si>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</si>
  <si>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</si>
  <si>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</si>
  <si>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</si>
  <si>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</si>
  <si>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</si>
  <si>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</si>
  <si>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</si>
  <si>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</si>
  <si>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</si>
  <si>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</si>
  <si>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</si>
  <si>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</si>
  <si>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</si>
  <si>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</si>
  <si>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</si>
  <si>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</si>
  <si>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</si>
  <si>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</si>
  <si>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</si>
  <si>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</si>
  <si>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</si>
  <si>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</si>
  <si>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</si>
  <si>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</si>
  <si>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</si>
  <si>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</si>
  <si>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</si>
  <si>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</si>
  <si>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</si>
  <si>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</si>
  <si>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</si>
  <si>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</si>
  <si>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</si>
  <si>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</si>
  <si>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</si>
  <si>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</si>
  <si>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</si>
  <si>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</si>
  <si>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</si>
  <si>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</si>
  <si>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</si>
  <si>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</si>
  <si>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</si>
  <si>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</si>
  <si>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</si>
  <si>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</si>
  <si>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</si>
  <si>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</si>
  <si>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</si>
  <si>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</si>
  <si>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</si>
  <si>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</si>
  <si>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</si>
  <si>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</si>
  <si>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</si>
  <si>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</si>
  <si>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</si>
  <si>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</si>
  <si>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</si>
  <si>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</si>
  <si>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</si>
  <si>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</si>
  <si>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</si>
  <si>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</si>
  <si>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</si>
  <si>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</si>
  <si>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</si>
  <si>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</si>
  <si>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</si>
  <si>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</si>
  <si>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</si>
  <si>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</si>
  <si>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</si>
  <si>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</si>
  <si>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</si>
  <si>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</si>
  <si>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</si>
  <si>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</si>
  <si>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</si>
  <si>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</si>
  <si>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</si>
  <si>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</si>
  <si>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</si>
  <si>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</si>
  <si>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</si>
  <si>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</si>
  <si>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</si>
  <si>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</si>
  <si>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</si>
  <si>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</si>
  <si>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</si>
  <si>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</si>
  <si>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</si>
  <si>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</si>
  <si>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</si>
  <si>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</si>
  <si>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</si>
  <si>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</si>
  <si>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</si>
  <si>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</si>
  <si>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</si>
  <si>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</si>
  <si>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</si>
  <si>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</si>
  <si>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</si>
  <si>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</si>
  <si>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</si>
  <si>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</si>
  <si>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</si>
  <si>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</si>
  <si>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</si>
  <si>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</si>
  <si>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</si>
  <si>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</si>
  <si>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</si>
  <si>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</si>
  <si>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</si>
  <si>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</si>
  <si>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</si>
  <si>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</si>
  <si>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</si>
  <si>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</si>
  <si>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</si>
  <si>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</si>
  <si>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</si>
  <si>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</si>
  <si>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</si>
  <si>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</si>
  <si>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</si>
  <si>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</si>
  <si>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</si>
  <si>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</si>
  <si>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</si>
  <si>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</si>
  <si>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</si>
  <si>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</si>
  <si>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</si>
  <si>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</si>
  <si>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</si>
  <si>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</si>
  <si>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</si>
  <si>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</si>
  <si>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</si>
  <si>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</si>
  <si>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</si>
  <si>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</si>
  <si>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</si>
  <si>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</si>
  <si>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</si>
  <si>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</si>
  <si>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</si>
  <si>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</si>
  <si>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</si>
  <si>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</si>
  <si>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</si>
  <si>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</si>
  <si>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</si>
  <si>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</si>
  <si>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</si>
  <si>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</si>
  <si>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</si>
  <si>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</si>
  <si>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</si>
  <si>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</si>
  <si>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</si>
  <si>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</si>
  <si>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</si>
  <si>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</si>
  <si>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</si>
  <si>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</si>
  <si>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</si>
  <si>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</si>
  <si>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</si>
  <si>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</si>
  <si>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</si>
  <si>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</si>
  <si>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</si>
  <si>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</si>
  <si>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</si>
  <si>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</si>
  <si>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</si>
  <si>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</si>
  <si>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</si>
  <si>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</si>
  <si>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</si>
  <si>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</si>
  <si>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</si>
  <si>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</si>
  <si>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</si>
  <si>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</si>
  <si>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</si>
  <si>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</si>
  <si>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</si>
  <si>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</si>
  <si>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</si>
  <si>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</si>
  <si>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</si>
  <si>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</si>
  <si>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</si>
  <si>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</si>
  <si>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</si>
  <si>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</si>
  <si>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</si>
  <si>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</si>
  <si>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</si>
  <si>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</si>
  <si>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</si>
  <si>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</si>
  <si>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</si>
  <si>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</si>
  <si>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</si>
  <si>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</si>
  <si>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</si>
  <si>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</si>
  <si>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</si>
  <si>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</si>
  <si>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</si>
  <si>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</si>
  <si>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</si>
  <si>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</si>
  <si>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</si>
  <si>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</si>
  <si>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</si>
  <si>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</si>
  <si>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</si>
  <si>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</si>
  <si>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</si>
  <si>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</si>
  <si>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</si>
  <si>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</si>
  <si>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</si>
  <si>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</si>
  <si>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</si>
  <si>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</si>
  <si>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</si>
  <si>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</si>
  <si>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</si>
  <si>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</si>
  <si>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</si>
  <si>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</si>
  <si>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</si>
  <si>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</si>
  <si>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</si>
  <si>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</si>
  <si>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</si>
  <si>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</si>
  <si>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</si>
  <si>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</si>
  <si>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</si>
  <si>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</si>
  <si>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</si>
  <si>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</si>
  <si>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</si>
  <si>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</si>
  <si>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</si>
  <si>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</si>
  <si>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</si>
  <si>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</si>
  <si>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</si>
  <si>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</si>
  <si>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</si>
  <si>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</si>
  <si>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</si>
  <si>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</si>
  <si>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</si>
  <si>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</si>
  <si>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</si>
  <si>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</si>
  <si>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</si>
  <si>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</si>
  <si>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</si>
  <si>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</si>
  <si>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</si>
  <si>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</si>
  <si>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</si>
  <si>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</si>
  <si>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</si>
  <si>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</si>
  <si>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</si>
  <si>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</si>
  <si>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</si>
  <si>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</si>
  <si>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</si>
  <si>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</si>
  <si>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</si>
  <si>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</si>
  <si>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</si>
  <si>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</si>
  <si>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</si>
  <si>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</si>
  <si>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</si>
  <si>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</si>
  <si>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</si>
  <si>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</si>
  <si>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</si>
  <si>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</si>
  <si>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</si>
  <si>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</si>
  <si>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</si>
  <si>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</si>
  <si>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</si>
  <si>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</si>
  <si>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</si>
  <si>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</si>
  <si>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</si>
  <si>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</si>
  <si>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</si>
  <si>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</si>
  <si>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</si>
  <si>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</si>
  <si>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</si>
  <si>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</si>
  <si>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</si>
  <si>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</si>
  <si>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</si>
  <si>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</si>
  <si>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</si>
  <si>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</si>
  <si>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</si>
  <si>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</si>
  <si>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</si>
  <si>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</si>
  <si>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</si>
  <si>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</si>
  <si>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</si>
  <si>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</si>
  <si>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</si>
  <si>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</si>
  <si>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</si>
  <si>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</si>
  <si>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</si>
  <si>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</si>
  <si>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</si>
  <si>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</si>
  <si>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</si>
  <si>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</si>
  <si>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</si>
  <si>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</si>
  <si>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</si>
  <si>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</si>
  <si>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</si>
  <si>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</si>
  <si>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</si>
  <si>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</si>
  <si>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</si>
  <si>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</si>
  <si>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</si>
  <si>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</si>
  <si>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</si>
  <si>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</si>
  <si>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</si>
  <si>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</si>
  <si>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</si>
  <si>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</si>
  <si>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</si>
  <si>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</si>
  <si>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</si>
  <si>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</si>
  <si>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</si>
  <si>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</si>
  <si>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</si>
  <si>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</si>
  <si>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</si>
  <si>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</si>
  <si>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</si>
  <si>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</si>
  <si>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</si>
  <si>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</si>
  <si>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</si>
  <si>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</si>
  <si>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</si>
  <si>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</si>
  <si>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</si>
  <si>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</si>
  <si>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</si>
  <si>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</si>
  <si>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</si>
  <si>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</si>
  <si>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</si>
  <si>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</si>
  <si>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</si>
  <si>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</si>
  <si>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</si>
  <si>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</si>
  <si>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</si>
  <si>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</si>
  <si>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</si>
  <si>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</si>
  <si>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</si>
  <si>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</si>
  <si>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</si>
  <si>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</si>
  <si>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</si>
  <si>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</si>
  <si>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</si>
  <si>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</si>
  <si>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</si>
  <si>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</si>
  <si>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</si>
  <si>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</si>
  <si>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</si>
  <si>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</si>
  <si>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</si>
  <si>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</si>
  <si>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</si>
  <si>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</si>
  <si>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</si>
  <si>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</si>
  <si>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</si>
  <si>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</si>
  <si>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</si>
  <si>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</si>
  <si>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</si>
  <si>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</si>
  <si>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</si>
  <si>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</si>
  <si>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</si>
  <si>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</si>
  <si>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</si>
  <si>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</si>
  <si>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</si>
  <si>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</si>
  <si>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</si>
  <si>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</si>
  <si>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</si>
  <si>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</si>
  <si>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</si>
  <si>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</si>
  <si>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</si>
  <si>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</si>
  <si>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</si>
  <si>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</si>
  <si>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</si>
  <si>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</si>
  <si>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</si>
  <si>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</si>
  <si>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</si>
  <si>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</si>
  <si>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</si>
  <si>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</si>
  <si>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</si>
  <si>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</si>
  <si>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</si>
  <si>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</si>
  <si>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</si>
  <si>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</si>
  <si>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</si>
  <si>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</si>
  <si>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</si>
  <si>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</si>
  <si>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</si>
  <si>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</si>
  <si>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</si>
  <si>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</si>
  <si>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</si>
  <si>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</si>
  <si>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</si>
  <si>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</si>
  <si>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</si>
  <si>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</si>
  <si>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</si>
  <si>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</si>
  <si>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</si>
  <si>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</si>
  <si>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</si>
  <si>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</si>
  <si>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</si>
  <si>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</si>
  <si>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</si>
  <si>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</si>
  <si>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</si>
  <si>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</si>
  <si>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</si>
  <si>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</si>
  <si>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</si>
  <si>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</si>
  <si>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</si>
  <si>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</si>
  <si>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</si>
  <si>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</si>
  <si>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</si>
  <si>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</si>
  <si>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</si>
  <si>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</si>
  <si>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</si>
  <si>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</si>
  <si>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</si>
  <si>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</si>
  <si>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</si>
  <si>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</si>
  <si>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</si>
  <si>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</si>
  <si>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</si>
  <si>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</si>
  <si>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</si>
  <si>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</si>
  <si>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</si>
  <si>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</si>
  <si>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</si>
  <si>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</si>
  <si>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</si>
  <si>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</si>
  <si>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</si>
  <si>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</si>
  <si>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</si>
  <si>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</si>
  <si>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</si>
  <si>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</si>
  <si>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</si>
  <si>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</si>
  <si>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</si>
  <si>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</si>
  <si>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</si>
  <si>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</si>
  <si>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</si>
  <si>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</si>
  <si>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</si>
  <si>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</si>
  <si>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</si>
  <si>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</si>
  <si>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</si>
  <si>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</si>
  <si>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</si>
  <si>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</si>
  <si>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</si>
  <si>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</si>
  <si>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</si>
  <si>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</si>
  <si>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</si>
  <si>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</si>
  <si>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</si>
  <si>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</si>
  <si>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</si>
  <si>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</si>
  <si>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</si>
  <si>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</si>
  <si>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</si>
  <si>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</si>
  <si>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</si>
  <si>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</si>
  <si>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</si>
  <si>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</si>
  <si>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</si>
  <si>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</si>
  <si>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</si>
  <si>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</si>
  <si>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</si>
  <si>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</si>
  <si>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</si>
  <si>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</si>
  <si>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</si>
  <si>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</si>
  <si>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</si>
  <si>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</si>
  <si>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</si>
  <si>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</si>
  <si>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</si>
  <si>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</si>
  <si>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</si>
  <si>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</si>
  <si>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</si>
  <si>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</si>
  <si>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</si>
  <si>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</si>
  <si>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</si>
  <si>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</si>
  <si>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</si>
  <si>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</si>
  <si>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</si>
  <si>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</si>
  <si>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</si>
  <si>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</si>
  <si>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</si>
  <si>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</si>
  <si>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</si>
  <si>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</si>
  <si>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</si>
  <si>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</si>
  <si>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</si>
  <si>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</si>
  <si>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</si>
  <si>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</si>
  <si>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</si>
  <si>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</si>
  <si>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</si>
  <si>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</si>
  <si>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</si>
  <si>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</si>
  <si>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</si>
  <si>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</si>
  <si>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</si>
  <si>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</si>
  <si>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</si>
  <si>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</si>
  <si>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</si>
  <si>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</si>
  <si>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</si>
  <si>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</si>
  <si>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</si>
  <si>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</si>
  <si>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</si>
  <si>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</si>
  <si>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</si>
  <si>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</si>
  <si>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</si>
  <si>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</si>
  <si>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</si>
  <si>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</si>
  <si>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</si>
  <si>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</si>
  <si>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</si>
  <si>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</si>
  <si>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</si>
  <si>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</si>
  <si>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</si>
  <si>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</si>
  <si>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</si>
  <si>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</si>
  <si>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</si>
  <si>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</si>
  <si>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</si>
  <si>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</si>
  <si>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</si>
  <si>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</si>
  <si>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</si>
  <si>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</si>
  <si>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</si>
  <si>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</si>
  <si>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</si>
  <si>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</si>
  <si>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</si>
  <si>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</si>
  <si>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</si>
  <si>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</si>
  <si>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</si>
  <si>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</si>
  <si>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</si>
  <si>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</si>
  <si>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</si>
  <si>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</si>
  <si>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</si>
  <si>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</si>
  <si>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</si>
  <si>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</si>
  <si>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</si>
  <si>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</si>
  <si>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</si>
  <si>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</si>
  <si>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</si>
  <si>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</si>
  <si>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</si>
  <si>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</si>
  <si>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</si>
  <si>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</si>
  <si>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</si>
  <si>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</si>
  <si>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</si>
  <si>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</si>
  <si>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</si>
  <si>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</si>
  <si>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</si>
  <si>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</si>
  <si>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</si>
  <si>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</si>
  <si>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</si>
  <si>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</si>
  <si>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</si>
  <si>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</si>
  <si>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</si>
  <si>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</si>
  <si>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</si>
  <si>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</si>
  <si>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</si>
  <si>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</si>
  <si>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</si>
  <si>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</si>
  <si>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</si>
  <si>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</si>
  <si>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</si>
  <si>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</si>
  <si>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</si>
  <si>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</si>
  <si>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</si>
  <si>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</si>
  <si>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</si>
  <si>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</si>
  <si>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</si>
  <si>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</si>
  <si>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</si>
  <si>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</si>
  <si>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</si>
  <si>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</si>
  <si>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</si>
  <si>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</si>
  <si>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</si>
  <si>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</si>
  <si>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</si>
  <si>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</si>
  <si>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</si>
  <si>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</si>
  <si>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</si>
  <si>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</si>
  <si>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</si>
  <si>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</si>
  <si>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</si>
  <si>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</si>
  <si>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</si>
  <si>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</si>
  <si>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</si>
  <si>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</si>
  <si>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</si>
  <si>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</si>
  <si>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</si>
  <si>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</si>
  <si>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</si>
  <si>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</si>
  <si>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</si>
  <si>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</si>
  <si>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</si>
  <si>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</si>
  <si>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</si>
  <si>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</si>
  <si>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</si>
  <si>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</si>
  <si>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</si>
  <si>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</si>
  <si>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</si>
  <si>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</si>
  <si>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</si>
  <si>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</si>
  <si>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</si>
  <si>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</si>
  <si>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</si>
  <si>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</si>
  <si>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</si>
  <si>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</si>
  <si>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</si>
  <si>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</si>
  <si>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</si>
  <si>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</si>
  <si>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</si>
  <si>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</si>
  <si>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</si>
  <si>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</si>
  <si>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</si>
  <si>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</si>
  <si>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</si>
  <si>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</si>
  <si>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</si>
  <si>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</si>
  <si>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</si>
  <si>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</si>
  <si>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</si>
  <si>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</si>
  <si>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</si>
  <si>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</si>
  <si>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</si>
  <si>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</si>
  <si>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</si>
  <si>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</si>
  <si>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</si>
  <si>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</si>
  <si>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</si>
  <si>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</si>
  <si>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</si>
  <si>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</si>
  <si>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</si>
  <si>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</si>
  <si>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</si>
  <si>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</si>
  <si>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</si>
  <si>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</si>
  <si>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</si>
  <si>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</si>
  <si>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</si>
  <si>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</si>
  <si>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</si>
  <si>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</si>
  <si>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</si>
  <si>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</si>
  <si>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</si>
  <si>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</si>
  <si>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</si>
  <si>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</si>
  <si>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</si>
  <si>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</si>
  <si>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</si>
  <si>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</si>
  <si>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</si>
  <si>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</si>
  <si>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</si>
  <si>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</si>
  <si>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</si>
  <si>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</si>
  <si>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</si>
  <si>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</si>
  <si>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</si>
  <si>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</si>
  <si>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</si>
  <si>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</si>
  <si>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</si>
  <si>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</si>
  <si>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</si>
  <si>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</si>
  <si>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</si>
  <si>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</si>
  <si>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</si>
  <si>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</si>
  <si>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</si>
  <si>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</si>
  <si>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</si>
  <si>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</si>
  <si>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</si>
  <si>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</si>
  <si>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</si>
  <si>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</si>
  <si>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</si>
  <si>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</si>
  <si>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</si>
  <si>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</si>
  <si>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</si>
  <si>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</si>
  <si>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</si>
  <si>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</si>
  <si>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</si>
  <si>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</si>
  <si>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</si>
  <si>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</si>
  <si>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</si>
  <si>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</si>
  <si>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</si>
  <si>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</si>
  <si>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</si>
  <si>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</si>
  <si>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</si>
  <si>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</si>
  <si>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</si>
  <si>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</si>
  <si>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</si>
  <si>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</si>
  <si>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</si>
  <si>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</si>
  <si>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</si>
  <si>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</si>
  <si>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</si>
  <si>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</si>
  <si>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</si>
  <si>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</si>
  <si>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</si>
  <si>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</si>
  <si>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</si>
  <si>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</si>
  <si>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</si>
  <si>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</si>
  <si>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</si>
  <si>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</si>
  <si>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</si>
  <si>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</si>
  <si>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</si>
  <si>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</si>
  <si>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</si>
  <si>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</si>
  <si>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</si>
  <si>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</si>
  <si>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</si>
  <si>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</si>
  <si>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</si>
  <si>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</si>
  <si>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</si>
  <si>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</si>
  <si>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</si>
  <si>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</si>
  <si>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</si>
  <si>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</si>
  <si>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</si>
  <si>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</si>
  <si>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</si>
  <si>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</si>
  <si>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</si>
  <si>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</si>
  <si>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</si>
  <si>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</si>
  <si>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</si>
  <si>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</si>
  <si>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</si>
  <si>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</si>
  <si>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</si>
  <si>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</si>
  <si>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</si>
  <si>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</si>
  <si>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</si>
  <si>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</si>
  <si>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</si>
  <si>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</si>
  <si>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</si>
  <si>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</si>
  <si>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</si>
  <si>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</si>
  <si>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</si>
  <si>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</si>
  <si>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</si>
  <si>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</si>
  <si>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</si>
  <si>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</si>
  <si>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</si>
  <si>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</si>
  <si>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</si>
  <si>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</si>
  <si>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</si>
  <si>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</si>
  <si>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</si>
  <si>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</si>
  <si>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</si>
  <si>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</si>
  <si>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</si>
  <si>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</si>
  <si>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</si>
  <si>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</si>
  <si>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</si>
  <si>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</si>
  <si>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</si>
  <si>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</si>
  <si>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</si>
  <si>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</si>
  <si>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</si>
  <si>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</si>
  <si>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</si>
  <si>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</si>
  <si>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</si>
  <si>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</si>
  <si>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</si>
  <si>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</si>
  <si>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</si>
  <si>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</si>
  <si>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</si>
  <si>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</si>
  <si>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</si>
  <si>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</si>
  <si>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</si>
  <si>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</si>
  <si>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</si>
  <si>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</si>
  <si>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</si>
  <si>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</si>
  <si>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</si>
  <si>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</si>
  <si>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</si>
  <si>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</si>
  <si>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</si>
  <si>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</si>
  <si>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</si>
  <si>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</si>
  <si>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</si>
  <si>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</si>
  <si>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</si>
  <si>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</si>
  <si>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</si>
  <si>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</si>
  <si>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</si>
  <si>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</si>
  <si>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</si>
  <si>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</si>
  <si>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</si>
  <si>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</si>
  <si>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</si>
  <si>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</si>
  <si>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</si>
  <si>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</si>
  <si>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</si>
  <si>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</si>
  <si>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</si>
  <si>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</si>
  <si>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</si>
  <si>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</si>
  <si>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</si>
  <si>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</si>
  <si>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</si>
  <si>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</si>
  <si>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</si>
  <si>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</si>
  <si>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</si>
  <si>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</si>
  <si>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</si>
  <si>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</si>
  <si>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</si>
  <si>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</si>
  <si>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</si>
  <si>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</si>
  <si>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</si>
  <si>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</si>
  <si>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</si>
  <si>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</si>
  <si>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</si>
  <si>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</si>
  <si>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</si>
  <si>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</si>
  <si>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</si>
  <si>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</si>
  <si>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</si>
  <si>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</si>
  <si>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</si>
  <si>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</si>
  <si>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</si>
  <si>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</si>
  <si>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</si>
  <si>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</si>
  <si>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</si>
  <si>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</si>
  <si>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</si>
  <si>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</si>
  <si>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</si>
  <si>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</si>
  <si>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</si>
  <si>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</si>
  <si>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</si>
  <si>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</si>
  <si>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</si>
  <si>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</si>
  <si>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</si>
  <si>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</si>
  <si>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</si>
  <si>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</si>
  <si>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</si>
  <si>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</si>
  <si>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</si>
  <si>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</si>
  <si>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</si>
  <si>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</si>
  <si>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</si>
  <si>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</si>
  <si>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</si>
  <si>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</si>
  <si>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</si>
  <si>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</si>
  <si>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</si>
  <si>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</si>
  <si>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</si>
  <si>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</si>
  <si>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</si>
  <si>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</si>
  <si>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</si>
  <si>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</si>
  <si>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</si>
  <si>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</si>
  <si>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</si>
  <si>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</si>
  <si>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</si>
  <si>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</si>
  <si>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</si>
  <si>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</si>
  <si>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</si>
  <si>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</si>
  <si>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</si>
  <si>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</si>
  <si>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</si>
  <si>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</si>
  <si>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</si>
  <si>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</si>
  <si>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</si>
  <si>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</si>
  <si>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</si>
  <si>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</si>
  <si>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</si>
  <si>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</si>
  <si>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</si>
  <si>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</si>
  <si>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</si>
  <si>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</si>
  <si>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</si>
  <si>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</si>
  <si>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</si>
  <si>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</si>
  <si>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</si>
  <si>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</si>
  <si>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</si>
  <si>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</si>
  <si>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</si>
  <si>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</si>
  <si>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</si>
  <si>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</si>
  <si>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</si>
  <si>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</si>
  <si>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</si>
  <si>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</si>
  <si>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</si>
  <si>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</si>
  <si>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</si>
  <si>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</si>
  <si>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</si>
  <si>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</si>
  <si>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</si>
  <si>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</si>
  <si>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</si>
  <si>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</si>
  <si>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</si>
  <si>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</si>
  <si>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</si>
  <si>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</si>
  <si>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</si>
  <si>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</si>
  <si>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</si>
  <si>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</si>
  <si>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</si>
  <si>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</si>
  <si>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</si>
  <si>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</si>
  <si>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</si>
  <si>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</si>
  <si>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</si>
  <si>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</si>
  <si>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</si>
  <si>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</si>
  <si>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</si>
  <si>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</si>
  <si>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</si>
  <si>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</si>
  <si>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</si>
  <si>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</si>
  <si>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</si>
  <si>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</si>
  <si>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</si>
  <si>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</si>
  <si>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</si>
  <si>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</si>
  <si>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</si>
  <si>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</si>
  <si>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</si>
  <si>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</si>
  <si>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</si>
  <si>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</si>
  <si>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</si>
  <si>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</si>
  <si>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</si>
  <si>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</si>
  <si>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</si>
  <si>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</si>
  <si>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</si>
  <si>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</si>
  <si>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</si>
  <si>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</si>
  <si>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</si>
  <si>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</si>
  <si>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</si>
  <si>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</si>
  <si>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</si>
  <si>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</si>
  <si>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</si>
  <si>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</si>
  <si>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</si>
  <si>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</si>
  <si>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</si>
  <si>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</si>
  <si>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</si>
  <si>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</si>
  <si>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</si>
  <si>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</si>
  <si>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</si>
  <si>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</si>
  <si>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</si>
  <si>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</si>
  <si>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</si>
  <si>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</si>
  <si>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</si>
  <si>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</si>
  <si>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</si>
  <si>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</si>
  <si>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</si>
  <si>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</si>
  <si>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</si>
  <si>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</si>
  <si>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</si>
  <si>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</si>
  <si>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</si>
  <si>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</si>
  <si>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</si>
  <si>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</si>
  <si>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</si>
  <si>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</si>
  <si>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</si>
  <si>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</si>
  <si>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</si>
  <si>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</si>
  <si>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</si>
  <si>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</si>
  <si>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</si>
  <si>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</si>
  <si>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</si>
  <si>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</si>
  <si>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</si>
  <si>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</si>
  <si>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</si>
  <si>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</si>
  <si>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</si>
  <si>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</si>
  <si>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</si>
  <si>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</si>
  <si>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</si>
  <si>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</si>
  <si>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</si>
  <si>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</si>
  <si>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</si>
  <si>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</si>
  <si>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</si>
  <si>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</si>
  <si>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</si>
  <si>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</si>
  <si>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</si>
  <si>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</si>
  <si>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</si>
  <si>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</si>
  <si>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</si>
  <si>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</si>
  <si>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</si>
  <si>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</si>
  <si>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</si>
  <si>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</si>
  <si>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</si>
  <si>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</si>
  <si>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</si>
  <si>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</si>
  <si>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</si>
  <si>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</si>
  <si>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</si>
  <si>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</si>
  <si>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</si>
  <si>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</si>
  <si>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</si>
  <si>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</si>
  <si>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</si>
  <si>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</si>
  <si>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</si>
  <si>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</si>
  <si>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</si>
  <si>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</si>
  <si>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</si>
  <si>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</si>
  <si>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</si>
  <si>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</si>
  <si>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</si>
  <si>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</si>
  <si>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</si>
  <si>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</si>
  <si>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</si>
  <si>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</si>
  <si>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</si>
  <si>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</si>
  <si>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</si>
  <si>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</si>
  <si>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</si>
  <si>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</si>
  <si>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</si>
  <si>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</si>
  <si>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</si>
  <si>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</si>
  <si>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</si>
  <si>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</si>
  <si>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</si>
  <si>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</si>
  <si>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</si>
  <si>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</si>
  <si>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</si>
  <si>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</si>
  <si>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</si>
  <si>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</si>
  <si>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</si>
  <si>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</si>
  <si>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</si>
  <si>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</si>
  <si>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</si>
  <si>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</si>
  <si>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</si>
  <si>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</si>
  <si>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</si>
  <si>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</si>
  <si>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</si>
  <si>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</si>
  <si>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</si>
  <si>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</si>
  <si>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</si>
  <si>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</si>
  <si>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</si>
  <si>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</si>
  <si>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</si>
  <si>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</si>
  <si>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</si>
  <si>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</si>
  <si>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</si>
  <si>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</si>
  <si>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</si>
  <si>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</si>
  <si>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</si>
  <si>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</si>
  <si>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</si>
  <si>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</si>
  <si>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</si>
  <si>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</si>
  <si>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</si>
  <si>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</si>
  <si>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</si>
  <si>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</si>
  <si>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</si>
  <si>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</si>
  <si>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</si>
  <si>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</si>
  <si>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</si>
  <si>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</si>
  <si>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</si>
  <si>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</si>
  <si>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</si>
  <si>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</si>
  <si>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</si>
  <si>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</si>
  <si>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</si>
  <si>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</si>
  <si>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</si>
  <si>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</si>
  <si>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</si>
  <si>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</si>
  <si>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</si>
  <si>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</si>
  <si>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</si>
  <si>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</si>
  <si>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</si>
  <si>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</si>
  <si>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</si>
  <si>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</si>
  <si>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</si>
  <si>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</si>
  <si>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</si>
  <si>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</si>
  <si>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</si>
  <si>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</si>
  <si>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</si>
  <si>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</si>
  <si>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</si>
  <si>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</si>
  <si>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</si>
  <si>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</si>
  <si>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</si>
  <si>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</si>
  <si>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</si>
  <si>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</si>
  <si>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</si>
  <si>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</si>
  <si>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</si>
  <si>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</si>
  <si>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</si>
  <si>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</si>
  <si>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</si>
  <si>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</si>
  <si>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</si>
  <si>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</si>
  <si>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</si>
  <si>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</si>
  <si>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</si>
  <si>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</si>
  <si>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</si>
  <si>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</si>
  <si>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</si>
  <si>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</si>
  <si>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</si>
  <si>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</si>
  <si>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</si>
  <si>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</si>
  <si>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</si>
  <si>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</si>
  <si>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</si>
  <si>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</si>
  <si>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</si>
  <si>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</si>
  <si>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</si>
  <si>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</si>
  <si>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</si>
  <si>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</si>
  <si>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</si>
  <si>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</si>
  <si>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</si>
  <si>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</si>
  <si>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</si>
  <si>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</si>
  <si>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</si>
  <si>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</si>
  <si>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</si>
  <si>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</si>
  <si>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</si>
  <si>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</si>
  <si>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</si>
  <si>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</si>
  <si>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</si>
  <si>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</si>
  <si>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</si>
  <si>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</si>
  <si>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</si>
  <si>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</si>
  <si>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</si>
  <si>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</si>
  <si>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</si>
  <si>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</si>
  <si>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</si>
  <si>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</si>
  <si>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</si>
  <si>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</si>
  <si>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</si>
  <si>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</si>
  <si>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</si>
  <si>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</si>
  <si>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</si>
  <si>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</si>
  <si>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</si>
  <si>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</si>
  <si>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</si>
  <si>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</si>
  <si>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</si>
  <si>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</si>
  <si>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</si>
  <si>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</si>
  <si>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</si>
  <si>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</si>
  <si>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</si>
  <si>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</si>
  <si>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</si>
  <si>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</si>
  <si>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</si>
  <si>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</si>
  <si>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</si>
  <si>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</si>
  <si>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</si>
  <si>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</si>
  <si>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</si>
  <si>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</si>
  <si>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</si>
  <si>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</si>
  <si>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</si>
  <si>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</si>
  <si>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</si>
  <si>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</si>
  <si>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</si>
  <si>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</si>
  <si>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</si>
  <si>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</si>
  <si>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</si>
  <si>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</si>
  <si>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</si>
  <si>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</si>
  <si>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</si>
  <si>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</si>
  <si>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</si>
  <si>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</si>
  <si>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</si>
  <si>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</si>
  <si>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</si>
  <si>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</si>
  <si>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</si>
  <si>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</si>
  <si>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</si>
  <si>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</si>
  <si>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</si>
  <si>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</si>
  <si>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</si>
  <si>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</si>
  <si>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</si>
  <si>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</si>
  <si>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</si>
  <si>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</si>
  <si>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</si>
  <si>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</si>
  <si>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</si>
  <si>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</si>
  <si>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</si>
  <si>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</si>
  <si>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</si>
  <si>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</si>
  <si>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</si>
  <si>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</si>
  <si>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</si>
  <si>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</si>
  <si>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</si>
  <si>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</si>
  <si>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</si>
  <si>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</si>
  <si>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</si>
  <si>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</si>
  <si>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</si>
  <si>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</si>
  <si>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</si>
  <si>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</si>
  <si>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</si>
  <si>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</si>
  <si>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</si>
  <si>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</si>
  <si>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</si>
  <si>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</si>
  <si>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</si>
  <si>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</si>
  <si>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</si>
  <si>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</si>
  <si>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</si>
  <si>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</si>
  <si>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</si>
  <si>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</si>
  <si>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</si>
  <si>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</si>
  <si>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</si>
  <si>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</si>
  <si>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</si>
  <si>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</si>
  <si>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</si>
  <si>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</si>
  <si>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</si>
  <si>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</si>
  <si>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</si>
  <si>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</si>
  <si>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</si>
  <si>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</si>
  <si>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</si>
  <si>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</si>
  <si>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</si>
  <si>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</si>
  <si>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</si>
  <si>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</si>
  <si>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</si>
  <si>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</si>
  <si>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</si>
  <si>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</si>
  <si>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</si>
  <si>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</si>
  <si>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</si>
  <si>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</si>
  <si>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</si>
  <si>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</si>
  <si>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</si>
  <si>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</si>
  <si>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</si>
  <si>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</si>
  <si>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</si>
  <si>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</si>
  <si>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</si>
  <si>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</si>
  <si>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</si>
  <si>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</si>
  <si>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</si>
  <si>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</si>
  <si>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</si>
  <si>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</si>
  <si>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</si>
  <si>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</si>
  <si>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</si>
  <si>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</si>
  <si>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</si>
  <si>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</si>
  <si>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</si>
  <si>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</si>
  <si>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</si>
  <si>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</si>
  <si>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</si>
  <si>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</si>
  <si>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</si>
  <si>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</si>
  <si>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</si>
  <si>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</si>
  <si>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</si>
  <si>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</si>
  <si>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</si>
  <si>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</si>
  <si>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</si>
  <si>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</si>
  <si>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</si>
  <si>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</si>
  <si>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</si>
  <si>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</si>
  <si>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</si>
  <si>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</si>
  <si>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</si>
  <si>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</si>
  <si>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</si>
  <si>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</si>
  <si>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</si>
  <si>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</si>
  <si>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</si>
  <si>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</si>
  <si>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</si>
  <si>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</si>
  <si>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</si>
  <si>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</si>
  <si>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</si>
  <si>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</si>
  <si>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</si>
  <si>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</si>
  <si>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</si>
  <si>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</si>
  <si>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</si>
  <si>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</si>
  <si>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</si>
  <si>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</si>
  <si>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</si>
  <si>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</si>
  <si>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</si>
  <si>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</si>
  <si>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</si>
  <si>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</si>
  <si>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</si>
  <si>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</si>
  <si>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</si>
  <si>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</si>
  <si>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</si>
  <si>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</si>
  <si>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</si>
  <si>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</si>
  <si>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</si>
  <si>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</si>
  <si>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</si>
  <si>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</si>
  <si>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</si>
  <si>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</si>
  <si>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</si>
  <si>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</si>
  <si>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</si>
  <si>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</si>
  <si>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</si>
  <si>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</si>
  <si>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</si>
  <si>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</si>
  <si>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</si>
  <si>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</si>
  <si>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</si>
  <si>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</si>
  <si>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</si>
  <si>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</si>
  <si>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</si>
  <si>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</si>
  <si>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</si>
  <si>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</si>
  <si>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</si>
  <si>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</si>
  <si>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</si>
  <si>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</si>
  <si>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</si>
  <si>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</si>
  <si>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</si>
  <si>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</si>
  <si>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</si>
  <si>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</si>
  <si>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</si>
  <si>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</si>
  <si>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</si>
  <si>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</si>
  <si>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</si>
  <si>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</si>
  <si>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</si>
  <si>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</si>
  <si>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</si>
  <si>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</si>
  <si>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</si>
  <si>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</si>
  <si>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</si>
  <si>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</si>
  <si>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</si>
  <si>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</si>
  <si>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</si>
  <si>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</si>
  <si>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</si>
  <si>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</si>
  <si>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</si>
  <si>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</si>
  <si>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</si>
  <si>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</si>
  <si>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</si>
  <si>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</si>
  <si>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</si>
  <si>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</si>
  <si>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</si>
  <si>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</si>
  <si>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</si>
  <si>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</si>
  <si>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</si>
  <si>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</si>
  <si>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</si>
  <si>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</si>
  <si>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</si>
  <si>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</si>
  <si>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</si>
  <si>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</si>
  <si>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</si>
  <si>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</si>
  <si>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</si>
  <si>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</si>
  <si>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</si>
  <si>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</si>
  <si>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</si>
  <si>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</si>
  <si>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</si>
  <si>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</si>
  <si>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</si>
  <si>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</si>
  <si>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</si>
  <si>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</si>
  <si>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</si>
  <si>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</si>
  <si>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</si>
  <si>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</si>
  <si>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</si>
  <si>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</si>
  <si>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</si>
  <si>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</si>
  <si>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</si>
  <si>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</si>
  <si>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</si>
  <si>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</si>
  <si>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</si>
  <si>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</si>
  <si>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</si>
  <si>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</si>
  <si>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</si>
  <si>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</si>
  <si>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</si>
  <si>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</si>
  <si>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</si>
  <si>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</si>
  <si>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</si>
  <si>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</si>
  <si>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</si>
  <si>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</si>
  <si>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</si>
  <si>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</si>
  <si>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</si>
  <si>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</si>
  <si>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</si>
  <si>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</si>
  <si>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</si>
  <si>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</si>
  <si>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</si>
  <si>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</si>
  <si>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</si>
  <si>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</si>
  <si>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</si>
  <si>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</si>
  <si>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</si>
  <si>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</si>
  <si>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</si>
  <si>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</si>
  <si>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</si>
  <si>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</si>
  <si>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</si>
  <si>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</si>
  <si>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</si>
  <si>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</si>
  <si>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</si>
  <si>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</si>
  <si>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</si>
  <si>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</si>
  <si>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</si>
  <si>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</si>
  <si>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</si>
  <si>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</si>
  <si>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</si>
  <si>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</si>
  <si>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</si>
  <si>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</si>
  <si>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</si>
  <si>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</si>
  <si>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</si>
  <si>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</si>
  <si>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</si>
  <si>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</si>
  <si>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</si>
  <si>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</si>
  <si>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</si>
  <si>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</si>
  <si>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</si>
  <si>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</si>
  <si>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</si>
  <si>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</si>
  <si>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</si>
  <si>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</si>
  <si>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</si>
  <si>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</si>
  <si>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</si>
  <si>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</si>
  <si>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</si>
  <si>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</si>
  <si>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</si>
  <si>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</si>
  <si>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</si>
  <si>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</si>
  <si>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</si>
  <si>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</si>
  <si>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</si>
  <si>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</si>
  <si>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</si>
  <si>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</si>
  <si>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</si>
  <si>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</si>
  <si>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</si>
  <si>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</si>
  <si>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</si>
  <si>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</si>
  <si>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</si>
  <si>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</si>
  <si>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</si>
  <si>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</si>
  <si>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</si>
  <si>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</si>
  <si>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</si>
  <si>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</si>
  <si>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</si>
  <si>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</si>
  <si>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</si>
  <si>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</si>
  <si>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</si>
  <si>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</si>
  <si>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</si>
  <si>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</si>
  <si>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</si>
  <si>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</si>
  <si>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</si>
  <si>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</si>
  <si>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</si>
  <si>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</si>
  <si>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</si>
  <si>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</si>
  <si>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</si>
  <si>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</si>
  <si>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</si>
  <si>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</si>
  <si>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</si>
  <si>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</si>
  <si>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</si>
  <si>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</si>
  <si>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</si>
  <si>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</si>
  <si>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</si>
  <si>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</si>
  <si>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</si>
  <si>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</si>
  <si>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</si>
  <si>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</si>
  <si>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</si>
  <si>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</si>
  <si>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</si>
  <si>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</si>
  <si>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</si>
  <si>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</si>
  <si>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</si>
  <si>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</si>
  <si>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</si>
  <si>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</si>
  <si>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</si>
  <si>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</si>
  <si>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</si>
  <si>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</si>
  <si>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</si>
  <si>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</si>
  <si>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</si>
  <si>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</si>
  <si>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</si>
  <si>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</si>
  <si>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</si>
  <si>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</si>
  <si>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</si>
  <si>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</si>
  <si>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</si>
  <si>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</si>
  <si>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</si>
  <si>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</si>
  <si>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</si>
  <si>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</si>
  <si>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</si>
  <si>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</si>
  <si>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</si>
  <si>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</si>
  <si>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</si>
  <si>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</si>
  <si>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</si>
  <si>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</si>
  <si>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</si>
  <si>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</si>
  <si>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</si>
  <si>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</si>
  <si>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</si>
  <si>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</si>
  <si>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</si>
  <si>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</si>
  <si>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</si>
  <si>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</si>
  <si>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</si>
  <si>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</si>
  <si>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</si>
  <si>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</si>
  <si>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</si>
  <si>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</si>
  <si>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</si>
  <si>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</si>
  <si>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</si>
  <si>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</si>
  <si>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</si>
  <si>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</si>
  <si>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</si>
  <si>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</si>
  <si>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</si>
  <si>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</si>
  <si>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</si>
  <si>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</si>
  <si>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</si>
  <si>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</si>
  <si>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</si>
  <si>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</si>
  <si>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</si>
  <si>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</si>
  <si>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</si>
  <si>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</si>
  <si>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</si>
  <si>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</si>
  <si>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</si>
  <si>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</si>
  <si>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</si>
  <si>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</si>
  <si>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</si>
  <si>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</si>
  <si>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</si>
  <si>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</si>
  <si>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</si>
  <si>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</si>
  <si>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</si>
  <si>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</si>
  <si>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</si>
  <si>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</si>
  <si>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</si>
  <si>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</si>
  <si>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</si>
  <si>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</si>
  <si>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</si>
  <si>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</si>
  <si>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</si>
  <si>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</si>
  <si>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</si>
  <si>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</si>
  <si>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</si>
  <si>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</si>
  <si>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</si>
  <si>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</si>
  <si>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</si>
  <si>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</si>
  <si>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</si>
  <si>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</si>
  <si>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</si>
  <si>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</si>
  <si>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</si>
  <si>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</si>
  <si>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</si>
  <si>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</si>
  <si>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</si>
  <si>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</si>
  <si>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</si>
  <si>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</si>
  <si>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</si>
  <si>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</si>
  <si>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</si>
  <si>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</si>
  <si>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</si>
  <si>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</si>
  <si>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</si>
  <si>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</si>
  <si>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</si>
  <si>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</si>
  <si>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</si>
  <si>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</si>
  <si>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</si>
  <si>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</si>
  <si>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</si>
  <si>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</si>
  <si>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</si>
  <si>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</si>
  <si>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</si>
  <si>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</si>
  <si>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</si>
  <si>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</si>
  <si>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</si>
  <si>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</si>
  <si>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</si>
  <si>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</si>
  <si>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</si>
  <si>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</si>
  <si>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</si>
  <si>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</si>
  <si>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</si>
  <si>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</si>
  <si>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</si>
  <si>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</si>
  <si>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</si>
  <si>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</si>
  <si>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</si>
  <si>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</si>
  <si>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</si>
  <si>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</si>
  <si>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</si>
  <si>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</si>
  <si>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</si>
  <si>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</si>
  <si>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</si>
  <si>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</si>
  <si>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</si>
  <si>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</si>
  <si>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</si>
  <si>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</si>
  <si>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</si>
  <si>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</si>
  <si>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</si>
  <si>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</si>
  <si>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</si>
  <si>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</si>
  <si>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</si>
  <si>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</si>
  <si>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</si>
  <si>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</si>
  <si>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</si>
  <si>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</si>
  <si>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</si>
  <si>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</si>
  <si>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</si>
  <si>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</si>
  <si>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</si>
  <si>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</si>
  <si>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</si>
  <si>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</si>
  <si>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</si>
  <si>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</si>
  <si>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</si>
  <si>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</si>
  <si>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</si>
  <si>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</si>
  <si>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</si>
  <si>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</si>
  <si>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</si>
  <si>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</si>
  <si>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</si>
  <si>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</si>
  <si>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</si>
  <si>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</si>
  <si>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</si>
  <si>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</si>
  <si>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</si>
  <si>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</si>
  <si>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</si>
  <si>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</si>
  <si>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</si>
  <si>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</si>
  <si>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</si>
  <si>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</si>
  <si>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</si>
  <si>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</si>
  <si>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</si>
  <si>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</si>
  <si>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</si>
  <si>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</si>
  <si>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</si>
  <si>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</si>
  <si>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</si>
  <si>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</si>
  <si>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</si>
  <si>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</si>
  <si>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</si>
  <si>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</si>
  <si>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</si>
  <si>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</si>
  <si>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</si>
  <si>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</si>
  <si>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</si>
  <si>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</si>
  <si>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</si>
  <si>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</si>
  <si>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</si>
  <si>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</si>
  <si>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</si>
  <si>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</si>
  <si>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</si>
  <si>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</si>
  <si>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</si>
  <si>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</si>
  <si>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</si>
  <si>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</si>
  <si>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</si>
  <si>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</si>
  <si>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</si>
  <si>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</si>
  <si>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</si>
  <si>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</si>
  <si>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</si>
  <si>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</si>
  <si>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</si>
  <si>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</si>
  <si>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</si>
  <si>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</si>
  <si>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</si>
  <si>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</si>
  <si>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</si>
  <si>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</si>
  <si>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</si>
  <si>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</si>
  <si>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</si>
  <si>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</si>
  <si>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</si>
  <si>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</si>
  <si>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</si>
  <si>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</si>
  <si>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</si>
  <si>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</si>
  <si>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</si>
  <si>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</si>
  <si>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</si>
  <si>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</si>
  <si>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</si>
  <si>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</si>
  <si>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</si>
  <si>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</si>
  <si>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</si>
  <si>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</si>
  <si>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</si>
  <si>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</si>
  <si>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</si>
  <si>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</si>
  <si>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</si>
  <si>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</si>
  <si>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</si>
  <si>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</si>
  <si>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</si>
  <si>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</si>
  <si>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</si>
  <si>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</si>
  <si>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</si>
  <si>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</si>
  <si>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</si>
  <si>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</si>
  <si>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</si>
  <si>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</si>
  <si>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</si>
  <si>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</si>
  <si>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</si>
  <si>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</si>
  <si>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</si>
  <si>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</si>
  <si>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</si>
  <si>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</si>
  <si>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</si>
  <si>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</si>
  <si>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</si>
  <si>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</si>
  <si>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</si>
  <si>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</si>
  <si>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</si>
  <si>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</si>
  <si>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</si>
  <si>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</si>
  <si>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</si>
  <si>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</si>
  <si>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</si>
  <si>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</si>
  <si>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</si>
  <si>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</si>
  <si>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</si>
  <si>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</si>
  <si>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</si>
  <si>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</si>
  <si>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</si>
  <si>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</si>
  <si>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</si>
  <si>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</si>
  <si>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</si>
  <si>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</si>
  <si>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</si>
  <si>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</si>
  <si>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</si>
  <si>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</si>
  <si>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</si>
  <si>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</si>
  <si>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</si>
  <si>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</si>
  <si>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</si>
  <si>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</si>
  <si>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</si>
  <si>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</si>
  <si>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</si>
  <si>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</si>
  <si>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</si>
  <si>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</si>
  <si>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</si>
  <si>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</si>
  <si>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</si>
  <si>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</si>
  <si>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</si>
  <si>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</si>
  <si>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</si>
  <si>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</si>
  <si>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</si>
  <si>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</si>
  <si>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</si>
  <si>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</si>
  <si>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</si>
  <si>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</si>
  <si>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</si>
  <si>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</si>
  <si>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</si>
  <si>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</si>
  <si>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</si>
  <si>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</si>
  <si>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</si>
  <si>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</si>
  <si>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</si>
  <si>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</si>
  <si>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</si>
  <si>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</si>
  <si>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</si>
  <si>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</si>
  <si>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</si>
  <si>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</si>
  <si>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</si>
  <si>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</si>
  <si>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</si>
  <si>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</si>
  <si>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</si>
  <si>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</si>
  <si>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</si>
  <si>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</si>
  <si>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</si>
  <si>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</si>
  <si>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</si>
  <si>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</si>
  <si>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</si>
  <si>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</si>
  <si>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</si>
  <si>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</si>
  <si>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</si>
  <si>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</si>
  <si>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</si>
  <si>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</si>
  <si>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</si>
  <si>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</si>
  <si>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</si>
  <si>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</si>
  <si>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</si>
  <si>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</si>
  <si>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</si>
  <si>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</si>
  <si>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</si>
  <si>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</si>
  <si>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</si>
  <si>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</si>
  <si>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</si>
  <si>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</si>
  <si>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</si>
  <si>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</si>
  <si>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</si>
  <si>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</si>
  <si>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</si>
  <si>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</si>
  <si>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</si>
  <si>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</si>
  <si>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</si>
  <si>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</si>
  <si>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</si>
  <si>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</si>
  <si>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</si>
  <si>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</si>
  <si>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</si>
  <si>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</si>
  <si>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</si>
  <si>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</si>
  <si>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</si>
  <si>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</si>
  <si>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</si>
  <si>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</si>
  <si>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</si>
  <si>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</si>
  <si>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</si>
  <si>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</si>
  <si>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</si>
  <si>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</si>
  <si>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</si>
  <si>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</si>
  <si>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</si>
  <si>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</si>
  <si>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</si>
  <si>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</si>
  <si>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</si>
  <si>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</si>
  <si>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</si>
  <si>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</si>
  <si>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</si>
  <si>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</si>
  <si>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</si>
  <si>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</si>
  <si>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</si>
  <si>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</si>
  <si>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</si>
  <si>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</si>
  <si>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</si>
  <si>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</si>
  <si>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</si>
  <si>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</si>
  <si>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</si>
  <si>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</si>
  <si>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</si>
  <si>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</si>
  <si>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</si>
  <si>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</si>
  <si>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</si>
  <si>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</si>
  <si>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</si>
  <si>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</si>
  <si>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</si>
  <si>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</si>
  <si>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</si>
  <si>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</si>
  <si>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</si>
  <si>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</si>
  <si>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</si>
  <si>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</si>
  <si>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</si>
  <si>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</si>
  <si>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</si>
  <si>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</si>
  <si>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</si>
  <si>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</si>
  <si>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</si>
  <si>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</si>
  <si>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</si>
  <si>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</si>
  <si>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</si>
  <si>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</si>
  <si>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</si>
  <si>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</si>
  <si>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</si>
  <si>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</si>
  <si>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</si>
  <si>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</si>
  <si>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</si>
  <si>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</si>
  <si>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</si>
  <si>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</si>
  <si>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</si>
  <si>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</si>
  <si>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</si>
  <si>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</si>
  <si>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</si>
  <si>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</si>
  <si>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</si>
  <si>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</si>
  <si>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</si>
  <si>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</si>
  <si>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</si>
  <si>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</si>
  <si>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</si>
  <si>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</si>
  <si>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</si>
  <si>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</si>
  <si>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</si>
  <si>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</si>
  <si>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</si>
  <si>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</si>
  <si>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</si>
  <si>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</si>
  <si>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</si>
  <si>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</si>
  <si>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</si>
  <si>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</si>
  <si>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</si>
  <si>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</si>
  <si>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</si>
  <si>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</si>
  <si>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</si>
  <si>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</si>
  <si>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</si>
  <si>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</si>
  <si>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</si>
  <si>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</si>
  <si>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</si>
  <si>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</si>
  <si>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</si>
  <si>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</si>
  <si>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</si>
  <si>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</si>
  <si>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</si>
  <si>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</si>
  <si>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</si>
  <si>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</si>
  <si>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</si>
  <si>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</si>
  <si>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</si>
  <si>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</si>
  <si>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</si>
  <si>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</si>
  <si>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</si>
  <si>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</si>
  <si>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</si>
  <si>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</si>
  <si>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</si>
  <si>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</si>
  <si>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</si>
  <si>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</si>
  <si>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</si>
  <si>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</si>
  <si>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</si>
  <si>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</si>
  <si>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</si>
  <si>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</si>
  <si>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</si>
  <si>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</si>
  <si>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</si>
  <si>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</si>
  <si>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</si>
  <si>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</si>
  <si>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</si>
  <si>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</si>
  <si>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</si>
  <si>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</si>
  <si>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</si>
  <si>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</si>
  <si>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</si>
  <si>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</si>
  <si>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</si>
  <si>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</si>
  <si>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</si>
  <si>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</si>
  <si>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</si>
  <si>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</si>
  <si>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</si>
  <si>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</si>
  <si>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</si>
  <si>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</si>
  <si>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</si>
  <si>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</si>
  <si>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</si>
  <si>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</si>
  <si>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</si>
  <si>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</si>
  <si>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</si>
  <si>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</si>
  <si>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</si>
  <si>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</si>
  <si>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</si>
  <si>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</si>
  <si>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</si>
  <si>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</si>
  <si>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</si>
  <si>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</si>
  <si>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</si>
  <si>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</si>
  <si>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</si>
  <si>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</si>
  <si>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</si>
  <si>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</si>
  <si>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</si>
  <si>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</si>
  <si>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</si>
  <si>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</si>
  <si>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</si>
  <si>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</si>
  <si>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</si>
  <si>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</si>
  <si>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</si>
  <si>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</si>
  <si>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</si>
  <si>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</si>
  <si>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</si>
  <si>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</si>
  <si>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</si>
  <si>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</si>
  <si>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</si>
  <si>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</si>
  <si>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</si>
  <si>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</si>
  <si>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</si>
  <si>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</si>
  <si>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</si>
  <si>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</si>
  <si>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</si>
  <si>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</si>
  <si>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</si>
  <si>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</si>
  <si>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</si>
  <si>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</si>
  <si>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</si>
  <si>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</si>
  <si>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</si>
  <si>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</si>
  <si>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</si>
  <si>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</si>
  <si>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</si>
  <si>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</si>
  <si>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</si>
  <si>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</si>
  <si>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</si>
  <si>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</si>
  <si>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</si>
  <si>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</si>
  <si>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</si>
  <si>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</si>
  <si>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</si>
  <si>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</si>
  <si>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</si>
  <si>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</si>
  <si>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</si>
  <si>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</si>
  <si>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</si>
  <si>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</si>
  <si>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</si>
  <si>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</si>
  <si>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</si>
  <si>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</si>
  <si>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</si>
  <si>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</si>
  <si>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</si>
  <si>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</si>
  <si>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</si>
  <si>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</si>
  <si>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</si>
  <si>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</si>
  <si>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</si>
  <si>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</si>
  <si>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</si>
  <si>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</si>
  <si>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</si>
  <si>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</si>
  <si>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</si>
  <si>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</si>
  <si>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</si>
  <si>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</si>
  <si>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</si>
  <si>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</si>
  <si>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</si>
  <si>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</si>
  <si>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</si>
  <si>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</si>
  <si>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</si>
  <si>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</si>
  <si>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</si>
  <si>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</si>
  <si>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</si>
  <si>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</si>
  <si>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</si>
  <si>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</si>
  <si>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</si>
  <si>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</si>
  <si>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</si>
  <si>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</si>
  <si>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</si>
  <si>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</si>
  <si>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</si>
  <si>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</si>
  <si>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</si>
  <si>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</si>
  <si>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</si>
  <si>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</si>
  <si>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</si>
  <si>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</si>
  <si>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</si>
  <si>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</si>
  <si>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</si>
  <si>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</si>
  <si>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</si>
  <si>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</si>
  <si>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</si>
  <si>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</si>
  <si>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</si>
  <si>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</si>
  <si>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</si>
  <si>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</si>
  <si>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</si>
  <si>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</si>
  <si>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</si>
  <si>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</si>
  <si>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</si>
  <si>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</si>
  <si>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</si>
  <si>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</si>
  <si>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</si>
  <si>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</si>
  <si>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</si>
  <si>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</si>
  <si>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</si>
  <si>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</si>
  <si>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</si>
  <si>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</si>
  <si>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</si>
  <si>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</si>
  <si>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</si>
  <si>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</si>
  <si>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</si>
  <si>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</si>
  <si>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</si>
  <si>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</si>
  <si>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</si>
  <si>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</si>
  <si>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</si>
  <si>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</si>
  <si>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</si>
  <si>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</si>
  <si>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</si>
  <si>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</si>
  <si>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</si>
  <si>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</si>
  <si>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</si>
  <si>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</si>
  <si>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</si>
  <si>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</si>
  <si>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</si>
  <si>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</si>
  <si>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</si>
  <si>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</si>
  <si>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</si>
  <si>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</si>
  <si>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</si>
  <si>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</si>
  <si>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</si>
  <si>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</si>
  <si>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</si>
  <si>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</si>
  <si>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</si>
  <si>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</si>
  <si>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</si>
  <si>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</si>
  <si>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</si>
  <si>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</si>
  <si>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</si>
  <si>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</si>
  <si>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</si>
  <si>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</si>
  <si>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</si>
  <si>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</si>
  <si>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</si>
  <si>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</si>
  <si>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</si>
  <si>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</si>
  <si>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</si>
  <si>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</si>
  <si>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</si>
  <si>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</si>
  <si>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</si>
  <si>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</si>
  <si>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</si>
  <si>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</si>
  <si>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</si>
  <si>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</si>
  <si>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</si>
  <si>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</si>
  <si>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</si>
  <si>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</si>
  <si>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</si>
  <si>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</si>
  <si>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</si>
  <si>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</si>
  <si>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</si>
  <si>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</si>
  <si>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</si>
  <si>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</si>
  <si>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</si>
  <si>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</si>
  <si>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</si>
  <si>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</si>
  <si>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</si>
  <si>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</si>
  <si>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</si>
  <si>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</si>
  <si>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</si>
  <si>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</si>
  <si>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</si>
  <si>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</si>
  <si>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</si>
  <si>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</si>
  <si>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</si>
  <si>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</si>
  <si>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</si>
  <si>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</si>
  <si>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</si>
  <si>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</si>
  <si>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</si>
  <si>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</si>
  <si>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</si>
  <si>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</si>
  <si>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</si>
  <si>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</si>
  <si>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</si>
  <si>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</si>
  <si>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</si>
  <si>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</si>
  <si>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</si>
  <si>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</si>
  <si>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</si>
  <si>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</si>
  <si>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</si>
  <si>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</si>
  <si>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</si>
  <si>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</si>
  <si>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</si>
  <si>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</si>
  <si>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</si>
  <si>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</si>
  <si>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</si>
  <si>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</si>
  <si>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</si>
  <si>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</si>
  <si>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</si>
  <si>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</si>
  <si>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</si>
  <si>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</si>
  <si>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</si>
  <si>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</si>
  <si>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</si>
  <si>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</si>
  <si>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</si>
  <si>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</si>
  <si>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</si>
  <si>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</si>
  <si>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</si>
  <si>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</si>
  <si>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</si>
  <si>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</si>
  <si>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</si>
  <si>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</si>
  <si>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</si>
  <si>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</si>
  <si>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</si>
  <si>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</si>
  <si>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</si>
  <si>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</si>
  <si>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</si>
  <si>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</si>
  <si>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</si>
  <si>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</si>
  <si>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</si>
  <si>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</si>
  <si>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</si>
  <si>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</si>
  <si>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</si>
  <si>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</si>
  <si>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</si>
  <si>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</si>
  <si>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</si>
  <si>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</si>
  <si>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</si>
  <si>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</si>
  <si>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</si>
  <si>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</si>
  <si>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</si>
  <si>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</si>
  <si>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</si>
  <si>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</si>
  <si>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</si>
  <si>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</si>
  <si>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</si>
  <si>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</si>
  <si>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</si>
  <si>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</si>
  <si>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</si>
  <si>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</si>
  <si>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</si>
  <si>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</si>
  <si>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</si>
  <si>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</si>
  <si>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</si>
  <si>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</si>
  <si>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</si>
  <si>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</si>
  <si>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</si>
  <si>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</si>
  <si>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</si>
  <si>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</si>
  <si>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</si>
  <si>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</si>
  <si>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</si>
  <si>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</si>
  <si>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</si>
  <si>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</si>
  <si>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</si>
  <si>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</si>
  <si>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</si>
  <si>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</si>
  <si>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</si>
  <si>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</si>
  <si>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</si>
  <si>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</si>
  <si>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</si>
  <si>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</si>
  <si>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</si>
  <si>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</si>
  <si>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</si>
  <si>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</si>
  <si>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</si>
  <si>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</si>
  <si>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</si>
  <si>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</si>
  <si>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</si>
  <si>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</si>
  <si>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</si>
  <si>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</si>
  <si>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</si>
  <si>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</si>
  <si>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</si>
  <si>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</si>
  <si>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</si>
  <si>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</si>
  <si>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</si>
  <si>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</si>
  <si>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</si>
  <si>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</si>
  <si>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</si>
  <si>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</si>
  <si>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</si>
  <si>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</si>
  <si>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</si>
  <si>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</si>
  <si>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</si>
  <si>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</si>
  <si>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</si>
  <si>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</si>
  <si>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</si>
  <si>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</si>
  <si>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</si>
  <si>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</si>
  <si>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</si>
  <si>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</si>
  <si>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</si>
  <si>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</si>
  <si>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</si>
  <si>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</si>
  <si>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</si>
  <si>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</si>
  <si>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</si>
  <si>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</si>
  <si>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</si>
  <si>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</si>
  <si>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</si>
  <si>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</si>
  <si>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</si>
  <si>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</si>
  <si>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</si>
  <si>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</si>
  <si>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</si>
  <si>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</si>
  <si>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</si>
  <si>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</si>
  <si>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</si>
  <si>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</si>
  <si>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</si>
  <si>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</si>
  <si>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</si>
  <si>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</si>
  <si>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</si>
  <si>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</si>
  <si>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</si>
  <si>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</si>
  <si>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</si>
  <si>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</si>
  <si>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</si>
  <si>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</si>
  <si>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</si>
  <si>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</si>
  <si>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</si>
  <si>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</si>
  <si>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</si>
  <si>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</si>
  <si>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</si>
  <si>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</si>
  <si>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</si>
  <si>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</si>
  <si>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</si>
  <si>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</si>
  <si>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</si>
  <si>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</si>
  <si>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</si>
  <si>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</si>
  <si>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</si>
  <si>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</si>
  <si>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</si>
  <si>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</si>
  <si>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</si>
  <si>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</si>
  <si>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</si>
  <si>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</si>
  <si>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</si>
  <si>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</si>
  <si>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</si>
  <si>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</si>
  <si>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</si>
  <si>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</si>
  <si>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</si>
  <si>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</si>
  <si>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</si>
  <si>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</si>
  <si>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</si>
  <si>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</si>
  <si>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</si>
  <si>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</si>
  <si>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</si>
  <si>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</si>
  <si>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</si>
  <si>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</si>
  <si>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</si>
  <si>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</si>
  <si>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</si>
  <si>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</si>
  <si>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</si>
  <si>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</si>
  <si>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</si>
  <si>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</si>
  <si>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</si>
  <si>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</si>
  <si>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</si>
  <si>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</si>
  <si>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</si>
  <si>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</si>
  <si>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</si>
  <si>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</si>
  <si>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</si>
  <si>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</si>
  <si>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</si>
  <si>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</si>
  <si>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</si>
  <si>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</si>
  <si>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</si>
  <si>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</si>
  <si>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</si>
  <si>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</si>
  <si>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</si>
  <si>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</si>
  <si>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</si>
  <si>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</si>
  <si>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</si>
  <si>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</si>
  <si>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</si>
  <si>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</si>
  <si>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</si>
  <si>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</si>
  <si>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</si>
  <si>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</si>
  <si>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</si>
  <si>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</si>
  <si>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</si>
  <si>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</si>
  <si>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</si>
  <si>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</si>
  <si>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</si>
  <si>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</si>
  <si>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</si>
  <si>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</si>
  <si>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</si>
  <si>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</si>
  <si>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</si>
  <si>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</si>
  <si>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</si>
  <si>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</si>
  <si>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</si>
  <si>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</si>
  <si>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</si>
  <si>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</si>
  <si>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</si>
  <si>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</si>
  <si>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</si>
  <si>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</si>
  <si>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</si>
  <si>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</si>
  <si>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</si>
  <si>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</si>
  <si>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</si>
  <si>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</si>
  <si>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</si>
  <si>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</si>
  <si>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</si>
  <si>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</si>
  <si>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</si>
  <si>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</si>
  <si>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</si>
  <si>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</si>
  <si>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</si>
  <si>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</si>
  <si>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</si>
  <si>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</si>
  <si>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</si>
  <si>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</si>
  <si>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</si>
  <si>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</si>
  <si>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</si>
  <si>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</si>
  <si>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</si>
  <si>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</si>
  <si>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</si>
  <si>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</si>
  <si>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</si>
  <si>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</si>
  <si>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</si>
  <si>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</si>
  <si>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</si>
  <si>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</si>
  <si>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</si>
  <si>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</si>
  <si>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</si>
  <si>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</si>
  <si>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</si>
  <si>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</si>
  <si>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</si>
  <si>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</si>
  <si>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</si>
  <si>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</si>
  <si>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</si>
  <si>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</si>
  <si>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</si>
  <si>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</si>
  <si>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</si>
  <si>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</si>
  <si>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</si>
  <si>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</si>
  <si>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</si>
  <si>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</si>
  <si>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</si>
  <si>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</si>
  <si>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</si>
  <si>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</si>
  <si>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</si>
  <si>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</si>
  <si>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</si>
  <si>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</si>
  <si>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</si>
  <si>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</si>
  <si>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</si>
  <si>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</si>
  <si>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</si>
  <si>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</si>
  <si>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</si>
  <si>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</si>
  <si>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</si>
  <si>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</si>
  <si>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</si>
  <si>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</si>
  <si>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</si>
  <si>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</si>
  <si>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</si>
  <si>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</si>
  <si>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</si>
  <si>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</si>
  <si>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</si>
  <si>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</si>
  <si>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</si>
  <si>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</si>
  <si>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</si>
  <si>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</si>
  <si>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</si>
  <si>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</si>
  <si>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</si>
  <si>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</si>
  <si>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</si>
  <si>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</si>
  <si>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</si>
  <si>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</si>
  <si>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</si>
  <si>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</si>
  <si>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</si>
  <si>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</si>
  <si>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</si>
  <si>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</si>
  <si>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</si>
  <si>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</si>
  <si>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</si>
  <si>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</si>
  <si>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</si>
  <si>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</si>
  <si>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</si>
  <si>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</si>
  <si>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</si>
  <si>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</si>
  <si>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</si>
  <si>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</si>
  <si>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</si>
  <si>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</si>
  <si>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</si>
  <si>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</si>
  <si>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</si>
  <si>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</si>
  <si>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</si>
  <si>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</si>
  <si>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</si>
  <si>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</si>
  <si>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</si>
  <si>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</si>
  <si>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</si>
  <si>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</si>
  <si>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</si>
  <si>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</si>
  <si>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</si>
  <si>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</si>
  <si>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</si>
  <si>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</si>
  <si>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</si>
  <si>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</si>
  <si>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</si>
  <si>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</si>
  <si>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</si>
  <si>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</si>
  <si>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</si>
  <si>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</si>
  <si>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</si>
  <si>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</si>
  <si>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</si>
  <si>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</si>
  <si>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</si>
  <si>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</si>
  <si>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</si>
  <si>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</si>
  <si>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</si>
  <si>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</si>
  <si>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</si>
  <si>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</si>
  <si>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</si>
  <si>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</si>
  <si>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</si>
  <si>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</si>
  <si>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</si>
  <si>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</si>
  <si>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</si>
  <si>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</si>
  <si>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</si>
  <si>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</si>
  <si>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</si>
  <si>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</si>
  <si>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</si>
  <si>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</si>
  <si>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</si>
  <si>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</si>
  <si>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</si>
  <si>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</si>
  <si>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</si>
  <si>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</si>
  <si>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</si>
  <si>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</si>
  <si>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</si>
  <si>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</si>
  <si>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</si>
  <si>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</si>
  <si>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</si>
  <si>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</si>
  <si>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</si>
  <si>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</si>
  <si>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</si>
  <si>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</si>
  <si>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</si>
  <si>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</si>
  <si>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</si>
  <si>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</si>
  <si>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</si>
  <si>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</si>
  <si>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</si>
  <si>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</si>
  <si>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</si>
  <si>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</si>
  <si>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</si>
  <si>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</si>
  <si>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</si>
  <si>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</si>
  <si>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</si>
  <si>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</si>
  <si>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</si>
  <si>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</si>
  <si>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</si>
  <si>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</si>
  <si>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</si>
  <si>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</si>
  <si>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</si>
  <si>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</si>
  <si>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</si>
  <si>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</si>
  <si>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</si>
  <si>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</si>
  <si>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</si>
  <si>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</si>
  <si>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</si>
  <si>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</si>
  <si>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</si>
  <si>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</si>
  <si>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</si>
  <si>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</si>
  <si>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</si>
  <si>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</si>
  <si>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</si>
  <si>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</si>
  <si>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</si>
  <si>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</si>
  <si>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</si>
  <si>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</si>
  <si>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</si>
  <si>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</si>
  <si>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</si>
  <si>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</si>
  <si>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</si>
  <si>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</si>
  <si>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</si>
  <si>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</si>
  <si>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</si>
  <si>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</si>
  <si>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</si>
  <si>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</si>
  <si>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</si>
  <si>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</si>
  <si>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</si>
  <si>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</si>
  <si>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</si>
  <si>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</si>
  <si>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</si>
  <si>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</si>
  <si>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</si>
  <si>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</si>
  <si>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</si>
  <si>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</si>
  <si>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</si>
  <si>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</si>
  <si>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</si>
  <si>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</si>
  <si>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</si>
  <si>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</si>
  <si>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</si>
  <si>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</si>
  <si>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</si>
  <si>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</si>
  <si>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</si>
  <si>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</si>
  <si>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</si>
  <si>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</si>
  <si>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</si>
  <si>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</si>
  <si>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</si>
  <si>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</si>
  <si>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</si>
  <si>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</si>
  <si>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</si>
  <si>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</si>
  <si>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</si>
  <si>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</si>
  <si>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</si>
  <si>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</si>
  <si>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</si>
  <si>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</si>
  <si>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</si>
  <si>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</si>
  <si>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</si>
  <si>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</si>
  <si>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</si>
  <si>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</si>
  <si>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</si>
  <si>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</si>
  <si>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</si>
  <si>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</si>
  <si>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</si>
  <si>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</si>
  <si>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</si>
  <si>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</si>
  <si>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</si>
  <si>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</si>
  <si>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</si>
  <si>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</si>
  <si>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</si>
  <si>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</si>
  <si>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</si>
  <si>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</si>
  <si>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</si>
  <si>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</si>
  <si>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</si>
  <si>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</si>
  <si>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</si>
  <si>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</si>
  <si>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</si>
  <si>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</si>
  <si>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</si>
  <si>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</si>
  <si>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</si>
  <si>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</si>
  <si>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</si>
  <si>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</si>
  <si>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</si>
  <si>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</si>
  <si>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</si>
  <si>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</si>
  <si>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</si>
  <si>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</si>
  <si>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</si>
  <si>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</si>
  <si>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</si>
  <si>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</si>
  <si>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</si>
  <si>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</si>
  <si>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</si>
  <si>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</si>
  <si>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</si>
  <si>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</si>
  <si>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</si>
  <si>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</si>
  <si>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</si>
  <si>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</si>
  <si>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</si>
  <si>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</si>
  <si>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</si>
  <si>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</si>
  <si>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</si>
  <si>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</si>
  <si>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</si>
  <si>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</si>
  <si>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</si>
  <si>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</si>
  <si>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</si>
  <si>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</si>
  <si>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</si>
  <si>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</si>
  <si>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</si>
  <si>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</si>
  <si>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</si>
  <si>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</si>
  <si>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</si>
  <si>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</si>
  <si>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</si>
  <si>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</si>
  <si>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</si>
  <si>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</si>
  <si>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</si>
  <si>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</si>
  <si>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</si>
  <si>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</si>
  <si>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</si>
  <si>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</si>
  <si>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</si>
  <si>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</si>
  <si>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</si>
  <si>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</si>
  <si>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</si>
  <si>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</si>
  <si>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</si>
  <si>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</si>
  <si>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</si>
  <si>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</si>
  <si>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</si>
  <si>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</si>
  <si>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</si>
  <si>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</si>
  <si>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</si>
  <si>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</si>
  <si>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</si>
  <si>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</si>
  <si>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</si>
  <si>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</si>
  <si>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</si>
  <si>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</si>
  <si>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</si>
  <si>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</si>
  <si>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</si>
  <si>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</si>
  <si>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</si>
  <si>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</si>
  <si>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</si>
  <si>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</si>
  <si>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</si>
  <si>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</si>
  <si>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</si>
  <si>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</si>
  <si>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</si>
  <si>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</si>
  <si>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</si>
  <si>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</si>
  <si>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</si>
  <si>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</si>
  <si>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</si>
  <si>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</si>
  <si>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</si>
  <si>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</si>
  <si>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</si>
  <si>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</si>
  <si>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</si>
  <si>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</si>
  <si>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</si>
  <si>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</si>
  <si>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</si>
  <si>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</si>
  <si>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</si>
  <si>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</si>
  <si>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</si>
  <si>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</si>
  <si>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</si>
  <si>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</si>
  <si>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</si>
  <si>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</si>
  <si>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</si>
  <si>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</si>
  <si>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</si>
  <si>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</si>
  <si>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</si>
  <si>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</si>
  <si>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</si>
  <si>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</si>
  <si>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</si>
  <si>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</si>
  <si>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</si>
  <si>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</si>
  <si>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</si>
  <si>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</si>
  <si>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</si>
  <si>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</si>
  <si>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</si>
  <si>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</si>
  <si>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</si>
  <si>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</si>
  <si>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</si>
  <si>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</si>
  <si>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</si>
  <si>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</si>
  <si>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</si>
  <si>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</si>
  <si>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</si>
  <si>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</si>
  <si>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</si>
  <si>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</si>
  <si>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</si>
  <si>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</si>
  <si>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</si>
  <si>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</si>
  <si>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</si>
  <si>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</si>
  <si>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</si>
  <si>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</si>
  <si>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</si>
  <si>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</si>
  <si>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</si>
  <si>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</si>
  <si>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</si>
  <si>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</si>
  <si>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</si>
  <si>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</si>
  <si>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</si>
  <si>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</si>
  <si>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</si>
  <si>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</si>
  <si>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</si>
  <si>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</si>
  <si>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</si>
  <si>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</si>
  <si>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</si>
  <si>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</si>
  <si>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</si>
  <si>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</si>
  <si>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</si>
  <si>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</si>
  <si>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</si>
  <si>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</si>
  <si>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</si>
  <si>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</si>
  <si>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</si>
  <si>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</si>
  <si>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</si>
  <si>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</si>
  <si>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</si>
  <si>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</si>
  <si>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</si>
  <si>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</si>
  <si>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</si>
  <si>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</si>
  <si>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</si>
  <si>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</si>
  <si>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</si>
  <si>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</si>
  <si>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</si>
  <si>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</si>
  <si>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</si>
  <si>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</si>
  <si>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</si>
  <si>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</si>
  <si>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</si>
  <si>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</si>
  <si>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</si>
  <si>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</si>
  <si>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</si>
  <si>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</si>
  <si>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</si>
  <si>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</si>
  <si>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</si>
  <si>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</si>
  <si>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</si>
  <si>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</si>
  <si>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</si>
  <si>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</si>
  <si>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</si>
  <si>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</si>
  <si>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</si>
  <si>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</si>
  <si>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</si>
  <si>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</si>
  <si>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</si>
  <si>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</si>
  <si>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</si>
  <si>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</si>
  <si>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</si>
  <si>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</si>
  <si>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</si>
  <si>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</si>
  <si>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</si>
  <si>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</si>
  <si>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</si>
  <si>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</si>
  <si>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</si>
  <si>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</si>
  <si>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</si>
  <si>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</si>
  <si>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</si>
  <si>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</si>
  <si>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</si>
  <si>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</si>
  <si>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</si>
  <si>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</si>
  <si>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</si>
  <si>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</si>
  <si>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</si>
  <si>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</si>
  <si>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</si>
  <si>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</si>
  <si>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</si>
  <si>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</si>
  <si>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</si>
  <si>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</si>
  <si>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</si>
  <si>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</si>
  <si>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</si>
  <si>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</si>
  <si>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</si>
  <si>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</si>
  <si>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</si>
  <si>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</si>
  <si>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</si>
  <si>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</si>
  <si>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</si>
  <si>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</si>
  <si>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</si>
  <si>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</si>
  <si>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</si>
  <si>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</si>
  <si>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</si>
  <si>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</si>
  <si>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</si>
  <si>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</si>
  <si>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</si>
  <si>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</si>
  <si>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</si>
  <si>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</si>
  <si>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</si>
  <si>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</si>
  <si>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</si>
  <si>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</si>
  <si>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</si>
  <si>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</si>
  <si>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</si>
  <si>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</si>
  <si>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</si>
  <si>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</si>
  <si>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</si>
  <si>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</si>
  <si>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</si>
  <si>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</si>
  <si>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</si>
  <si>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</si>
  <si>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</si>
  <si>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</si>
  <si>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</si>
  <si>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</si>
  <si>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</si>
  <si>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</si>
  <si>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</si>
  <si>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</si>
  <si>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</si>
  <si>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</si>
  <si>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</si>
  <si>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</si>
  <si>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</si>
  <si>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</si>
  <si>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</si>
  <si>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</si>
  <si>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</si>
  <si>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</si>
  <si>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</si>
  <si>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</si>
  <si>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</si>
  <si>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</si>
  <si>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</si>
  <si>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</si>
  <si>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</si>
  <si>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</si>
  <si>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</si>
  <si>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</si>
  <si>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</si>
  <si>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</si>
  <si>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</si>
  <si>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</si>
  <si>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</si>
  <si>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</si>
  <si>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</si>
  <si>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</si>
  <si>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</si>
  <si>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</si>
  <si>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</si>
  <si>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</si>
  <si>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</si>
  <si>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</si>
  <si>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</si>
  <si>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</si>
  <si>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</si>
  <si>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</si>
  <si>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</si>
  <si>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</si>
  <si>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</si>
  <si>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</si>
  <si>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</si>
  <si>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</si>
  <si>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</si>
  <si>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</si>
  <si>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</si>
  <si>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</si>
  <si>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</si>
  <si>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</si>
  <si>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</si>
  <si>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</si>
  <si>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</si>
  <si>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</si>
  <si>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</si>
  <si>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</si>
  <si>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</si>
  <si>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</si>
  <si>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</si>
  <si>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</si>
  <si>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</si>
  <si>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</si>
  <si>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</si>
  <si>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</si>
  <si>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</si>
  <si>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</si>
  <si>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</si>
  <si>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</si>
  <si>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</si>
  <si>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</si>
  <si>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</si>
  <si>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</si>
  <si>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</si>
  <si>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</si>
  <si>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</si>
  <si>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</si>
  <si>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</si>
  <si>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</si>
  <si>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</si>
  <si>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</si>
  <si>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</si>
  <si>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</si>
  <si>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</si>
  <si>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</si>
  <si>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</si>
  <si>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</si>
  <si>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</si>
  <si>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</si>
  <si>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</si>
  <si>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</si>
  <si>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</si>
  <si>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</si>
  <si>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</si>
  <si>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</si>
  <si>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</si>
  <si>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</si>
  <si>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</si>
  <si>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</si>
  <si>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</si>
  <si>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</si>
  <si>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</si>
  <si>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</si>
  <si>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</si>
  <si>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</si>
  <si>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</si>
  <si>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</si>
  <si>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</si>
  <si>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</si>
  <si>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</si>
  <si>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</si>
  <si>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</si>
  <si>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</si>
  <si>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</si>
  <si>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</si>
  <si>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</si>
  <si>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</si>
  <si>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</si>
  <si>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</si>
  <si>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</si>
  <si>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</si>
  <si>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</si>
  <si>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</si>
  <si>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</si>
  <si>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</si>
  <si>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</si>
  <si>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</si>
  <si>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</si>
  <si>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</si>
  <si>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</si>
  <si>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</si>
  <si>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</si>
  <si>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</si>
  <si>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</si>
  <si>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</si>
  <si>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</si>
  <si>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</si>
  <si>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</si>
  <si>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</si>
  <si>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</si>
  <si>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</si>
  <si>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</si>
  <si>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</si>
  <si>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</si>
  <si>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</si>
  <si>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</si>
  <si>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</si>
  <si>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</si>
  <si>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</si>
  <si>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</si>
  <si>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</si>
  <si>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</si>
  <si>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</si>
  <si>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</si>
  <si>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</si>
  <si>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</si>
  <si>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</si>
  <si>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</si>
  <si>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</si>
  <si>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</si>
  <si>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</si>
  <si>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</si>
  <si>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</si>
  <si>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</si>
  <si>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</si>
  <si>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</si>
  <si>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</si>
  <si>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</si>
  <si>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</si>
  <si>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</si>
  <si>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</si>
  <si>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</si>
  <si>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</si>
  <si>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</si>
  <si>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</si>
  <si>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</si>
  <si>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</si>
  <si>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</si>
  <si>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</si>
  <si>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</si>
  <si>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</si>
  <si>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</si>
  <si>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</si>
  <si>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</si>
  <si>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</si>
  <si>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</si>
  <si>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</si>
  <si>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</si>
  <si>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</si>
  <si>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</si>
  <si>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</si>
  <si>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</si>
  <si>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</si>
  <si>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</si>
  <si>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</si>
  <si>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</si>
  <si>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</si>
  <si>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</si>
  <si>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</si>
  <si>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</si>
  <si>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</si>
  <si>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</si>
  <si>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</si>
  <si>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</si>
  <si>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</si>
  <si>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</si>
  <si>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</si>
  <si>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</si>
  <si>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</si>
  <si>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</si>
  <si>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</si>
  <si>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</si>
  <si>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</si>
  <si>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</si>
  <si>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</si>
  <si>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</si>
  <si>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</si>
  <si>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</si>
  <si>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</si>
  <si>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</si>
  <si>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</si>
  <si>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</si>
  <si>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</si>
  <si>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</si>
  <si>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</si>
  <si>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</si>
  <si>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</si>
  <si>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</si>
  <si>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</si>
  <si>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</si>
  <si>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</si>
  <si>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</si>
  <si>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</si>
  <si>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</si>
  <si>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</si>
  <si>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</si>
  <si>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</si>
  <si>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</si>
  <si>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</si>
  <si>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</si>
  <si>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</si>
  <si>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</si>
  <si>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</si>
  <si>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</si>
  <si>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</si>
  <si>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</si>
  <si>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</si>
  <si>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</si>
  <si>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</si>
  <si>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</si>
  <si>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</si>
  <si>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</si>
  <si>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</si>
  <si>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</si>
  <si>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</si>
  <si>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</si>
  <si>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</si>
  <si>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</si>
  <si>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</si>
  <si>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</si>
  <si>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</si>
  <si>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</si>
  <si>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</si>
  <si>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</si>
  <si>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</si>
  <si>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</si>
  <si>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</si>
  <si>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</si>
  <si>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</si>
  <si>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</si>
  <si>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</si>
  <si>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</si>
  <si>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</si>
  <si>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</si>
  <si>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</si>
  <si>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</si>
  <si>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</si>
  <si>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</si>
  <si>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</si>
  <si>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</si>
  <si>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</si>
  <si>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</si>
  <si>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</si>
  <si>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</si>
  <si>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</si>
  <si>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</si>
  <si>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</si>
  <si>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</si>
  <si>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</si>
  <si>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</si>
  <si>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</si>
  <si>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</si>
  <si>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</si>
  <si>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</si>
  <si>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</si>
  <si>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</si>
  <si>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</si>
  <si>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</si>
  <si>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</si>
  <si>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</si>
  <si>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</si>
  <si>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</si>
  <si>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</si>
  <si>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</si>
  <si>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</si>
  <si>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</si>
  <si>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</si>
  <si>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</si>
  <si>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</si>
  <si>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</si>
  <si>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</si>
  <si>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</si>
  <si>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</si>
  <si>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</si>
  <si>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</si>
  <si>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</si>
  <si>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</si>
  <si>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</si>
  <si>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</si>
  <si>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</si>
  <si>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</si>
  <si>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</si>
  <si>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</si>
  <si>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</si>
  <si>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</si>
  <si>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</si>
  <si>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</si>
  <si>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</si>
  <si>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</si>
  <si>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</si>
  <si>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</si>
  <si>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</si>
  <si>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</si>
  <si>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</si>
  <si>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</si>
  <si>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</si>
  <si>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</si>
  <si>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</si>
  <si>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</si>
  <si>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</si>
  <si>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</si>
  <si>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</si>
  <si>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</si>
  <si>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</si>
  <si>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</si>
  <si>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</si>
  <si>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</si>
  <si>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</si>
  <si>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</si>
  <si>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</si>
  <si>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</si>
  <si>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</si>
  <si>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</si>
  <si>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</si>
  <si>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</si>
  <si>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</si>
  <si>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</si>
  <si>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</si>
  <si>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</si>
  <si>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</si>
  <si>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</si>
  <si>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</si>
  <si>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</si>
  <si>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</si>
  <si>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</si>
  <si>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</si>
  <si>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</si>
  <si>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</si>
  <si>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</si>
  <si>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</si>
  <si>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</si>
  <si>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</si>
  <si>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</si>
  <si>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</si>
  <si>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</si>
  <si>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</si>
  <si>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</si>
  <si>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</si>
  <si>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</si>
  <si>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</si>
  <si>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</si>
  <si>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</si>
  <si>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</si>
  <si>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</si>
  <si>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</si>
  <si>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</si>
  <si>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</si>
  <si>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</si>
  <si>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</si>
  <si>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</si>
  <si>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</si>
  <si>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</si>
  <si>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</si>
  <si>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</si>
  <si>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</si>
  <si>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</si>
  <si>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</si>
  <si>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</si>
  <si>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</si>
  <si>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</si>
  <si>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</si>
  <si>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</si>
  <si>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</si>
  <si>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</si>
  <si>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</si>
  <si>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</si>
  <si>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</si>
  <si>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</si>
  <si>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</si>
  <si>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</si>
  <si>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</si>
  <si>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</si>
  <si>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</si>
  <si>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</si>
  <si>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</si>
  <si>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</si>
  <si>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</si>
  <si>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</si>
  <si>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</si>
  <si>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</si>
  <si>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</si>
  <si>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</si>
  <si>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</si>
  <si>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</si>
  <si>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</si>
  <si>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</si>
  <si>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</si>
  <si>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</si>
  <si>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</si>
  <si>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</si>
  <si>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</si>
  <si>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</si>
  <si>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</si>
  <si>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</si>
  <si>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</si>
  <si>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</si>
  <si>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</si>
  <si>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</si>
  <si>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</si>
  <si>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</si>
  <si>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</si>
  <si>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</si>
  <si>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</si>
  <si>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</si>
  <si>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</si>
  <si>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</si>
  <si>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</si>
  <si>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</si>
  <si>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</si>
  <si>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</si>
  <si>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</si>
  <si>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</si>
  <si>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</si>
  <si>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</si>
  <si>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</si>
  <si>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</si>
  <si>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</si>
  <si>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</si>
  <si>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</si>
  <si>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</si>
  <si>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</si>
  <si>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</si>
  <si>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</si>
  <si>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</si>
  <si>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</si>
  <si>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</si>
  <si>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</si>
  <si>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</si>
  <si>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</si>
  <si>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</si>
  <si>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</si>
  <si>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</si>
  <si>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</si>
  <si>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</si>
  <si>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</si>
  <si>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</si>
  <si>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</si>
  <si>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</si>
  <si>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</si>
  <si>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</si>
  <si>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</si>
  <si>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</si>
  <si>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</si>
  <si>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</si>
  <si>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</si>
  <si>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</si>
  <si>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</si>
  <si>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</si>
  <si>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</si>
  <si>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</si>
  <si>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</si>
  <si>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</si>
  <si>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</si>
  <si>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</si>
  <si>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</si>
  <si>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</si>
  <si>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</si>
  <si>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</si>
  <si>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</si>
  <si>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</si>
  <si>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</si>
  <si>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</si>
  <si>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</si>
  <si>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</si>
  <si>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</si>
  <si>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</si>
  <si>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</si>
  <si>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</si>
  <si>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</si>
  <si>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</si>
  <si>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</si>
  <si>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</si>
  <si>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</si>
  <si>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</si>
  <si>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</si>
  <si>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</si>
  <si>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</si>
  <si>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</si>
  <si>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</si>
  <si>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</si>
  <si>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</si>
  <si>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</si>
  <si>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</si>
  <si>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</si>
  <si>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</si>
  <si>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</si>
  <si>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</si>
  <si>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</si>
  <si>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</si>
  <si>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</si>
  <si>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</si>
  <si>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</si>
  <si>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</si>
  <si>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</si>
  <si>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</si>
  <si>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</si>
  <si>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</si>
  <si>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</si>
  <si>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</si>
  <si>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</si>
  <si>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</si>
  <si>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</si>
  <si>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</si>
  <si>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</si>
  <si>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</si>
  <si>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</si>
  <si>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</si>
  <si>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</si>
  <si>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</si>
  <si>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</si>
  <si>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</si>
  <si>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</si>
  <si>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</si>
  <si>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</si>
  <si>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</si>
  <si>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</si>
  <si>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</si>
  <si>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</si>
  <si>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</si>
  <si>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</si>
  <si>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</si>
  <si>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</si>
  <si>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</si>
  <si>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</si>
  <si>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</si>
  <si>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</si>
  <si>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</si>
  <si>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</si>
  <si>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</si>
  <si>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</si>
  <si>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</si>
  <si>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</si>
  <si>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</si>
  <si>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</si>
  <si>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</si>
  <si>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</si>
  <si>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</si>
  <si>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</si>
  <si>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</si>
  <si>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</si>
  <si>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</si>
  <si>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</si>
  <si>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</si>
  <si>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</si>
  <si>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</si>
  <si>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</si>
  <si>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</si>
  <si>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</si>
  <si>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</si>
  <si>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</si>
  <si>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</si>
  <si>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</si>
  <si>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</si>
  <si>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</si>
  <si>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</si>
  <si>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</si>
  <si>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</si>
  <si>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</si>
  <si>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</si>
  <si>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</si>
  <si>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</si>
  <si>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</si>
  <si>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</si>
  <si>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</si>
  <si>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</si>
  <si>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</si>
  <si>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</si>
  <si>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</si>
  <si>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</si>
  <si>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</si>
  <si>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</si>
  <si>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</si>
  <si>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</si>
  <si>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</si>
  <si>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</si>
  <si>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</si>
  <si>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</si>
  <si>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</si>
  <si>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</si>
  <si>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</si>
  <si>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</si>
  <si>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</si>
  <si>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</si>
  <si>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</si>
  <si>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</si>
  <si>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</si>
  <si>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</si>
  <si>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</si>
  <si>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</si>
  <si>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</si>
  <si>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</si>
  <si>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</si>
  <si>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</si>
  <si>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</si>
  <si>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</si>
  <si>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</si>
  <si>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</si>
  <si>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</si>
  <si>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</si>
  <si>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</si>
  <si>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</si>
  <si>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</si>
  <si>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</si>
  <si>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</si>
  <si>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</si>
  <si>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</si>
  <si>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</si>
  <si>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</si>
  <si>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</si>
  <si>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</si>
  <si>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</si>
  <si>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</si>
  <si>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</si>
  <si>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</si>
  <si>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</si>
  <si>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</si>
  <si>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</si>
  <si>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</si>
  <si>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</si>
  <si>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</si>
  <si>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</si>
  <si>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</si>
  <si>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</si>
  <si>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</si>
  <si>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</si>
  <si>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</si>
  <si>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</si>
  <si>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</si>
  <si>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</si>
  <si>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</si>
  <si>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</si>
  <si>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</si>
  <si>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</si>
  <si>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</si>
  <si>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</si>
  <si>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</si>
  <si>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</si>
  <si>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</si>
  <si>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</si>
  <si>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</si>
  <si>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</si>
  <si>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</si>
  <si>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</si>
  <si>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</si>
  <si>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</si>
  <si>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</si>
  <si>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</si>
  <si>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</si>
  <si>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</si>
  <si>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</si>
  <si>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</si>
  <si>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</si>
  <si>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</si>
  <si>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</si>
  <si>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</si>
  <si>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</si>
  <si>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</si>
  <si>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</si>
  <si>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</si>
  <si>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</si>
  <si>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</si>
  <si>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</si>
  <si>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</si>
  <si>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</si>
  <si>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</si>
  <si>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</si>
  <si>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</si>
  <si>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</si>
  <si>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</si>
  <si>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</si>
  <si>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</si>
  <si>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</si>
  <si>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</si>
  <si>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</si>
  <si>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</si>
  <si>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</si>
  <si>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</si>
  <si>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</si>
  <si>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</si>
  <si>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</si>
  <si>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</si>
  <si>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</si>
  <si>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</si>
  <si>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</si>
  <si>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</si>
  <si>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</si>
  <si>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</si>
  <si>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</si>
  <si>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</si>
  <si>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</si>
  <si>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</si>
  <si>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</si>
  <si>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</si>
  <si>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</si>
  <si>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</si>
  <si>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</si>
  <si>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</si>
  <si>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</si>
  <si>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</si>
  <si>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</si>
  <si>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</si>
  <si>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</si>
  <si>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</si>
  <si>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</si>
  <si>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</si>
  <si>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</si>
  <si>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</si>
  <si>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</si>
  <si>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</si>
  <si>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</si>
  <si>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</si>
  <si>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</si>
  <si>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</si>
  <si>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</si>
  <si>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</si>
  <si>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</si>
  <si>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</si>
  <si>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</si>
  <si>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</si>
  <si>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</si>
  <si>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</si>
  <si>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</si>
  <si>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</si>
  <si>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</si>
  <si>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</si>
  <si>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</si>
  <si>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</si>
  <si>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</si>
  <si>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</si>
  <si>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</si>
  <si>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</si>
  <si>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</si>
  <si>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</si>
  <si>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</si>
  <si>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</si>
  <si>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</si>
  <si>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</si>
  <si>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</si>
  <si>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</si>
  <si>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</si>
  <si>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</si>
  <si>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</si>
  <si>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</si>
  <si>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</si>
  <si>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</si>
  <si>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</si>
  <si>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</si>
  <si>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</si>
  <si>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</si>
  <si>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</si>
  <si>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</si>
  <si>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</si>
  <si>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</si>
  <si>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</si>
  <si>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</si>
  <si>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</si>
  <si>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</si>
  <si>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</si>
  <si>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</si>
  <si>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</si>
  <si>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</si>
  <si>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</si>
  <si>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</si>
  <si>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</si>
  <si>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</si>
  <si>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</si>
  <si>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</si>
  <si>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</si>
  <si>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</si>
  <si>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</si>
  <si>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</si>
  <si>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</si>
  <si>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</si>
  <si>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</si>
  <si>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</si>
  <si>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</si>
  <si>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</si>
  <si>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</si>
  <si>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</si>
  <si>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</si>
  <si>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</si>
  <si>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</si>
  <si>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</si>
  <si>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</si>
  <si>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</si>
  <si>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</si>
  <si>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</si>
  <si>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</si>
  <si>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</si>
  <si>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</si>
  <si>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</si>
  <si>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</si>
  <si>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</si>
  <si>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</si>
  <si>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</si>
  <si>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</si>
  <si>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</si>
  <si>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</si>
  <si>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</si>
  <si>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</si>
  <si>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</si>
  <si>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</si>
  <si>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</si>
  <si>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</si>
  <si>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</si>
  <si>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</si>
  <si>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</si>
  <si>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</si>
  <si>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</si>
  <si>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</si>
  <si>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</si>
  <si>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</si>
  <si>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</si>
  <si>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</si>
  <si>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</si>
  <si>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</si>
  <si>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</si>
  <si>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</si>
  <si>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</si>
  <si>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</si>
  <si>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</si>
  <si>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</si>
  <si>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</si>
  <si>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</si>
  <si>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</si>
  <si>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</si>
  <si>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</si>
  <si>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</si>
  <si>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</si>
  <si>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</si>
  <si>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</si>
  <si>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</si>
  <si>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</si>
  <si>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</si>
  <si>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</si>
  <si>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</si>
  <si>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</si>
  <si>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</si>
  <si>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</si>
  <si>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</si>
  <si>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</si>
  <si>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</si>
  <si>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</si>
  <si>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</si>
  <si>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</si>
  <si>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</si>
  <si>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</si>
  <si>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</si>
  <si>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</si>
  <si>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</si>
  <si>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</si>
  <si>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</si>
  <si>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</si>
  <si>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</si>
  <si>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</si>
  <si>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</si>
  <si>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</si>
  <si>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</si>
  <si>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</si>
  <si>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</si>
  <si>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</si>
  <si>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</si>
  <si>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</si>
  <si>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</si>
  <si>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</si>
  <si>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</si>
  <si>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</si>
  <si>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</si>
  <si>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</si>
  <si>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</si>
  <si>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</si>
  <si>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</si>
  <si>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</si>
  <si>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</si>
  <si>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</si>
  <si>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</si>
  <si>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</si>
  <si>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</si>
  <si>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</si>
  <si>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</si>
  <si>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</si>
  <si>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</si>
  <si>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</si>
  <si>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</si>
  <si>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</si>
  <si>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</si>
  <si>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</si>
  <si>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</si>
  <si>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</si>
  <si>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</si>
  <si>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</si>
  <si>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</si>
  <si>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</si>
  <si>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</si>
  <si>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</si>
  <si>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</si>
  <si>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</si>
  <si>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</si>
  <si>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</si>
  <si>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</si>
  <si>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</si>
  <si>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</si>
  <si>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</si>
  <si>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</si>
  <si>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</si>
  <si>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</si>
  <si>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</si>
  <si>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</si>
  <si>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</si>
  <si>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</si>
  <si>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</si>
  <si>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</si>
  <si>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</si>
  <si>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</si>
  <si>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</si>
  <si>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</si>
  <si>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</si>
  <si>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</si>
  <si>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</si>
  <si>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</si>
  <si>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</si>
  <si>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</si>
  <si>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</si>
  <si>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</si>
  <si>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</si>
  <si>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</si>
  <si>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</si>
  <si>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</si>
  <si>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</si>
  <si>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</si>
  <si>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</si>
  <si>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</si>
  <si>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</si>
  <si>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</si>
  <si>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</si>
  <si>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</si>
  <si>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</si>
  <si>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</si>
  <si>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</si>
  <si>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</si>
  <si>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</si>
  <si>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</si>
  <si>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</si>
  <si>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</si>
  <si>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</si>
  <si>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</si>
  <si>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</si>
  <si>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</si>
  <si>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</si>
  <si>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</si>
  <si>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</si>
  <si>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</si>
  <si>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</si>
  <si>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</si>
  <si>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</si>
  <si>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</si>
  <si>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</si>
  <si>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</si>
  <si>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</si>
  <si>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</si>
  <si>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</si>
  <si>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</si>
  <si>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</si>
  <si>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</si>
  <si>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</si>
  <si>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</si>
  <si>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</si>
  <si>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</si>
  <si>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</si>
  <si>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</si>
  <si>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</si>
  <si>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</si>
  <si>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</si>
  <si>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</si>
  <si>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</si>
  <si>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</si>
  <si>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</si>
  <si>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</si>
  <si>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</si>
  <si>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</si>
  <si>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</si>
  <si>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</si>
  <si>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</si>
  <si>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</si>
  <si>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</si>
  <si>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</si>
  <si>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</si>
  <si>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</si>
  <si>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</si>
  <si>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</si>
  <si>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</si>
  <si>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</si>
  <si>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</si>
  <si>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</si>
  <si>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</si>
  <si>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</si>
  <si>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</si>
  <si>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</si>
  <si>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</si>
  <si>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</si>
  <si>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</si>
  <si>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</si>
  <si>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</si>
  <si>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</si>
  <si>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</si>
  <si>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</si>
  <si>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</si>
  <si>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</si>
  <si>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</si>
  <si>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</si>
  <si>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</si>
  <si>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</si>
  <si>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</si>
  <si>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</si>
  <si>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</si>
  <si>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</si>
  <si>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</si>
  <si>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</si>
  <si>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</si>
  <si>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</si>
  <si>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</si>
  <si>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</si>
  <si>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</si>
  <si>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</si>
  <si>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</si>
  <si>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</si>
  <si>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</si>
  <si>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</si>
  <si>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</si>
  <si>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</si>
  <si>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</si>
  <si>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</si>
  <si>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</si>
  <si>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</si>
  <si>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</si>
  <si>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</si>
  <si>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</si>
  <si>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</si>
  <si>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</si>
  <si>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</si>
  <si>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</si>
  <si>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</si>
  <si>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</si>
  <si>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</si>
  <si>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</si>
  <si>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</si>
  <si>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</si>
  <si>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</si>
  <si>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</si>
  <si>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</si>
  <si>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</si>
  <si>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</si>
  <si>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</si>
  <si>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</si>
  <si>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</si>
  <si>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</si>
  <si>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</si>
  <si>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</si>
  <si>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</si>
  <si>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</si>
  <si>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</si>
  <si>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</si>
  <si>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</si>
  <si>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</si>
  <si>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</si>
  <si>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</si>
  <si>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</si>
  <si>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</si>
  <si>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</si>
  <si>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</si>
  <si>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</si>
  <si>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</si>
  <si>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</si>
  <si>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</si>
  <si>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</si>
  <si>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</si>
  <si>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</si>
  <si>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</si>
  <si>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</si>
  <si>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</si>
  <si>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</si>
  <si>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</si>
  <si>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</si>
  <si>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</si>
  <si>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</si>
  <si>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</si>
  <si>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</si>
  <si>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</si>
  <si>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</si>
  <si>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</si>
  <si>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</si>
  <si>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</si>
  <si>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</si>
  <si>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</si>
  <si>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</si>
  <si>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</si>
  <si>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</si>
  <si>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</si>
  <si>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</si>
  <si>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</si>
  <si>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</si>
  <si>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</si>
  <si>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</si>
  <si>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</si>
  <si>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</si>
  <si>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</si>
  <si>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</si>
  <si>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</si>
  <si>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</si>
  <si>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</si>
  <si>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</si>
  <si>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</si>
  <si>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</si>
  <si>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</si>
  <si>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</si>
  <si>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</si>
  <si>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</si>
  <si>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</si>
  <si>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</si>
  <si>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</si>
  <si>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</si>
  <si>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</si>
  <si>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</si>
  <si>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</si>
  <si>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</si>
  <si>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</si>
  <si>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</si>
  <si>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</si>
  <si>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</si>
  <si>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</si>
  <si>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</si>
  <si>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</si>
  <si>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</si>
  <si>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</si>
  <si>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</si>
  <si>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</si>
  <si>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</si>
  <si>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</si>
  <si>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</si>
  <si>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</si>
  <si>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</si>
  <si>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</si>
  <si>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</si>
  <si>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</si>
  <si>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</si>
  <si>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</si>
  <si>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</si>
  <si>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</si>
  <si>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</si>
  <si>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</si>
  <si>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</si>
  <si>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</si>
  <si>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</si>
  <si>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</si>
  <si>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</si>
  <si>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</si>
  <si>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</si>
  <si>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</si>
  <si>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</si>
  <si>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</si>
  <si>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</si>
  <si>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</si>
  <si>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</si>
  <si>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</si>
  <si>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</si>
  <si>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</si>
  <si>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</si>
  <si>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</si>
  <si>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</si>
  <si>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</si>
  <si>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</si>
  <si>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</si>
  <si>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</si>
  <si>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</si>
  <si>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</si>
  <si>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</si>
  <si>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</si>
  <si>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</si>
  <si>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</si>
  <si>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</si>
  <si>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</si>
  <si>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</si>
  <si>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</si>
  <si>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</si>
  <si>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</si>
  <si>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</si>
  <si>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</si>
  <si>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</si>
  <si>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</si>
  <si>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</si>
  <si>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</si>
  <si>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</si>
  <si>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</si>
  <si>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</si>
  <si>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</si>
  <si>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</si>
  <si>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</si>
  <si>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</si>
  <si>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</si>
  <si>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</si>
  <si>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</si>
  <si>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</si>
  <si>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</si>
  <si>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</si>
  <si>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</si>
  <si>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</si>
  <si>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</si>
  <si>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</si>
  <si>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</si>
  <si>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</si>
  <si>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</si>
  <si>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</si>
  <si>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</si>
  <si>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</si>
  <si>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</si>
  <si>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</si>
  <si>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</si>
  <si>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</si>
  <si>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</si>
  <si>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</si>
  <si>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</si>
  <si>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</si>
  <si>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</si>
  <si>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</si>
  <si>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</si>
  <si>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</si>
  <si>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</si>
  <si>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</si>
  <si>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</si>
  <si>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</si>
  <si>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</si>
  <si>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</si>
  <si>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</si>
  <si>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</si>
  <si>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</si>
  <si>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</si>
  <si>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</si>
  <si>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</si>
  <si>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</si>
  <si>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</si>
  <si>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</si>
  <si>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</si>
  <si>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</si>
  <si>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</si>
  <si>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</si>
  <si>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</si>
  <si>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</si>
  <si>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</si>
  <si>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</si>
  <si>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</si>
  <si>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</si>
  <si>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</si>
  <si>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</si>
  <si>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</si>
  <si>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</si>
  <si>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</si>
  <si>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</si>
  <si>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</si>
  <si>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</si>
  <si>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</si>
  <si>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</si>
  <si>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</si>
  <si>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</si>
  <si>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</si>
  <si>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</si>
  <si>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</si>
  <si>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</si>
  <si>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</si>
  <si>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</si>
  <si>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</si>
  <si>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</si>
  <si>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</si>
  <si>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</si>
  <si>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</si>
  <si>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</si>
  <si>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</si>
  <si>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</si>
  <si>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</si>
  <si>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</si>
  <si>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</si>
  <si>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</si>
  <si>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</si>
  <si>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</si>
  <si>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</si>
  <si>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</si>
  <si>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</si>
  <si>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</si>
  <si>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</si>
  <si>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</si>
  <si>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</si>
  <si>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</si>
  <si>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</si>
  <si>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</si>
  <si>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</si>
  <si>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</si>
  <si>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</si>
  <si>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</si>
  <si>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</si>
  <si>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</si>
  <si>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</si>
  <si>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</si>
  <si>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</si>
  <si>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</si>
  <si>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</si>
  <si>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</si>
  <si>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</si>
  <si>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</si>
  <si>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</si>
  <si>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</si>
  <si>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</si>
  <si>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</si>
  <si>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</si>
  <si>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</si>
  <si>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</si>
  <si>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</si>
  <si>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</si>
  <si>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</si>
  <si>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</si>
  <si>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</si>
  <si>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</si>
  <si>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</si>
  <si>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</si>
  <si>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</si>
  <si>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</si>
  <si>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</si>
  <si>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</si>
  <si>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</si>
  <si>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</si>
  <si>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</si>
  <si>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</si>
  <si>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</si>
  <si>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</si>
  <si>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</si>
  <si>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</si>
  <si>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</si>
  <si>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</si>
  <si>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</si>
  <si>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</si>
  <si>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</si>
  <si>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</si>
  <si>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</si>
  <si>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</si>
  <si>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</si>
  <si>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</si>
  <si>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</si>
  <si>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</si>
  <si>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</si>
  <si>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</si>
  <si>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</si>
  <si>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</si>
  <si>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</si>
  <si>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</si>
  <si>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</si>
  <si>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</si>
  <si>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</si>
  <si>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</si>
  <si>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</si>
  <si>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</si>
  <si>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</si>
  <si>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</si>
  <si>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</si>
  <si>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</si>
  <si>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</si>
  <si>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</si>
  <si>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</si>
  <si>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</si>
  <si>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</si>
  <si>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</si>
  <si>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</si>
  <si>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</si>
  <si>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</si>
  <si>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</si>
  <si>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</si>
  <si>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</si>
  <si>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</si>
  <si>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</si>
  <si>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</si>
  <si>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</si>
  <si>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</si>
  <si>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</si>
  <si>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</si>
  <si>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</si>
  <si>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</si>
  <si>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</si>
  <si>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</si>
  <si>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</si>
  <si>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</si>
  <si>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</si>
  <si>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</si>
  <si>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</si>
  <si>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</si>
  <si>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</si>
  <si>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</si>
  <si>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</si>
  <si>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</si>
  <si>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</si>
  <si>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</si>
  <si>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</si>
  <si>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</si>
  <si>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</si>
  <si>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</si>
  <si>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</si>
  <si>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</si>
  <si>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</si>
  <si>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</si>
  <si>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</si>
  <si>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</si>
  <si>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</si>
  <si>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</si>
  <si>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</si>
  <si>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</si>
  <si>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</si>
  <si>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</si>
  <si>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</si>
  <si>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</si>
  <si>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</si>
  <si>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</si>
  <si>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</si>
  <si>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</si>
  <si>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</si>
  <si>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</si>
  <si>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</si>
  <si>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</si>
  <si>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</si>
  <si>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</si>
  <si>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</si>
  <si>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</si>
  <si>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</si>
  <si>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</si>
  <si>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</si>
  <si>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</si>
  <si>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</si>
  <si>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</si>
  <si>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</si>
  <si>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</si>
  <si>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</si>
  <si>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</si>
  <si>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</si>
  <si>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</si>
  <si>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</si>
  <si>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</si>
  <si>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</si>
  <si>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</si>
  <si>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</si>
  <si>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</si>
  <si>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</si>
  <si>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</si>
  <si>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</si>
  <si>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</si>
  <si>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</si>
  <si>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</si>
  <si>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</si>
  <si>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</si>
  <si>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</si>
  <si>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</si>
  <si>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</si>
  <si>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</si>
  <si>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</si>
  <si>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</si>
  <si>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</si>
  <si>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</si>
  <si>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</si>
  <si>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</si>
  <si>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</si>
  <si>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</si>
  <si>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</si>
  <si>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</si>
  <si>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</si>
  <si>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</si>
  <si>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</si>
  <si>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</si>
  <si>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</si>
  <si>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</si>
  <si>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</si>
  <si>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</si>
  <si>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</si>
  <si>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</si>
  <si>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</si>
  <si>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</si>
  <si>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</si>
  <si>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</si>
  <si>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</si>
  <si>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</si>
  <si>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</si>
  <si>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</si>
  <si>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</si>
  <si>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</si>
  <si>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</si>
  <si>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</si>
  <si>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</si>
  <si>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</si>
  <si>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</si>
  <si>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</si>
  <si>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</si>
  <si>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</si>
  <si>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</si>
  <si>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</si>
  <si>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</si>
  <si>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</si>
  <si>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</si>
  <si>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</si>
  <si>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</si>
  <si>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</si>
  <si>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</si>
  <si>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</si>
  <si>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</si>
  <si>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</si>
  <si>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</si>
  <si>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</si>
  <si>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</si>
  <si>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</si>
  <si>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</si>
  <si>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</si>
  <si>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</si>
  <si>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</si>
  <si>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</si>
  <si>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</si>
  <si>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</si>
  <si>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</si>
  <si>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</si>
  <si>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</si>
  <si>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</si>
  <si>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</si>
  <si>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</si>
  <si>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</si>
  <si>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</si>
  <si>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</si>
  <si>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</si>
  <si>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</si>
  <si>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</si>
  <si>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</si>
  <si>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</si>
  <si>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</si>
  <si>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</si>
  <si>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</si>
  <si>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</si>
  <si>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</si>
  <si>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</si>
  <si>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</si>
  <si>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</si>
  <si>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</si>
  <si>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</si>
  <si>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</si>
  <si>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</si>
  <si>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</si>
  <si>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</si>
  <si>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</si>
  <si>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</si>
  <si>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</si>
  <si>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</si>
  <si>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</si>
  <si>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</si>
  <si>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</si>
  <si>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</si>
  <si>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</si>
  <si>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</si>
  <si>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</si>
  <si>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</si>
  <si>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</si>
  <si>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</si>
  <si>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</si>
  <si>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</si>
  <si>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</si>
  <si>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</si>
  <si>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</si>
  <si>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</si>
  <si>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</si>
  <si>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</si>
  <si>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</si>
  <si>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</si>
  <si>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</si>
  <si>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</si>
  <si>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</si>
  <si>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</si>
  <si>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</si>
  <si>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</si>
  <si>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</si>
  <si>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</si>
  <si>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</si>
  <si>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</si>
  <si>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</si>
  <si>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</si>
  <si>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</si>
  <si>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</si>
  <si>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</si>
  <si>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</si>
  <si>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</si>
  <si>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</si>
  <si>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</si>
  <si>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</si>
  <si>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</si>
  <si>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</si>
  <si>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</si>
  <si>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</si>
  <si>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</si>
  <si>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</si>
  <si>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</si>
  <si>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</si>
  <si>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</si>
  <si>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</si>
  <si>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</si>
  <si>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</si>
  <si>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</si>
  <si>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</si>
  <si>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</si>
  <si>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</si>
  <si>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</si>
  <si>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</si>
  <si>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</si>
  <si>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</si>
  <si>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</si>
  <si>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</si>
  <si>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</si>
  <si>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</si>
  <si>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</si>
  <si>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</si>
  <si>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</si>
  <si>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</si>
  <si>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</si>
  <si>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</si>
  <si>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</si>
  <si>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</si>
  <si>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</si>
  <si>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</si>
  <si>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</si>
  <si>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</si>
  <si>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</si>
  <si>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</si>
  <si>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</si>
  <si>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</si>
  <si>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</si>
  <si>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</si>
  <si>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</si>
  <si>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</si>
  <si>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</si>
  <si>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</si>
  <si>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</si>
  <si>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</si>
  <si>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</si>
  <si>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</si>
  <si>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</si>
  <si>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</si>
  <si>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</si>
  <si>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</si>
  <si>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</si>
  <si>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</si>
  <si>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</si>
  <si>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</si>
  <si>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</si>
  <si>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</si>
  <si>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</si>
  <si>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</si>
  <si>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</si>
  <si>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</si>
  <si>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</si>
  <si>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</si>
  <si>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</si>
  <si>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</si>
  <si>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</si>
  <si>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</si>
  <si>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</si>
  <si>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</si>
  <si>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</si>
  <si>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</si>
  <si>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</si>
  <si>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</si>
  <si>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</si>
  <si>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</si>
  <si>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</si>
  <si>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</si>
  <si>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</si>
  <si>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</si>
  <si>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</si>
  <si>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</si>
  <si>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</si>
  <si>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</si>
  <si>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</si>
  <si>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</si>
  <si>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</si>
  <si>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</si>
  <si>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</si>
  <si>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</si>
  <si>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</si>
  <si>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</si>
  <si>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</si>
  <si>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</si>
  <si>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</si>
  <si>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</si>
  <si>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</si>
  <si>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</si>
  <si>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</si>
  <si>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</si>
  <si>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</si>
  <si>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</si>
  <si>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</si>
  <si>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</si>
  <si>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</si>
  <si>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</si>
  <si>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</si>
  <si>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</si>
  <si>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</si>
  <si>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</si>
  <si>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</si>
  <si>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</si>
  <si>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</si>
  <si>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</si>
  <si>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</si>
  <si>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</si>
  <si>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</si>
  <si>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</si>
  <si>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</si>
  <si>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</si>
  <si>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</si>
  <si>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</si>
  <si>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</si>
  <si>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</si>
  <si>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</si>
  <si>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</si>
  <si>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</si>
  <si>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</si>
  <si>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</si>
  <si>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</si>
  <si>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</si>
  <si>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</si>
  <si>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</si>
  <si>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</si>
  <si>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</si>
  <si>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</si>
  <si>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</si>
  <si>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</si>
  <si>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</si>
  <si>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</si>
  <si>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</si>
  <si>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</si>
  <si>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</si>
  <si>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</si>
  <si>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</si>
  <si>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</si>
  <si>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</si>
  <si>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</si>
  <si>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</si>
  <si>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</si>
  <si>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</si>
  <si>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</si>
  <si>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</si>
  <si>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</si>
  <si>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</si>
  <si>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</si>
  <si>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</si>
  <si>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</si>
  <si>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</si>
  <si>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</si>
  <si>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</si>
  <si>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</si>
  <si>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</si>
  <si>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</si>
  <si>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</si>
  <si>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</si>
  <si>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</si>
  <si>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</si>
  <si>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</si>
  <si>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</si>
  <si>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</si>
  <si>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</si>
  <si>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</si>
  <si>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</si>
  <si>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</si>
  <si>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</si>
  <si>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</si>
  <si>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</si>
  <si>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</si>
  <si>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</si>
  <si>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</si>
  <si>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</si>
  <si>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</si>
  <si>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</si>
  <si>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</si>
  <si>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</si>
  <si>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</si>
  <si>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</si>
  <si>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</si>
  <si>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</si>
  <si>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</si>
  <si>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</si>
  <si>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</si>
  <si>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</si>
  <si>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</si>
  <si>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</si>
  <si>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</si>
  <si>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</si>
  <si>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</si>
  <si>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</si>
  <si>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</si>
  <si>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</si>
  <si>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</si>
  <si>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</si>
  <si>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</si>
  <si>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</si>
  <si>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</si>
  <si>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</si>
  <si>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</si>
  <si>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</si>
  <si>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</si>
  <si>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</si>
  <si>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</si>
  <si>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</si>
  <si>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</si>
  <si>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</si>
  <si>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</si>
  <si>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</si>
  <si>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</si>
  <si>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</si>
  <si>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</si>
  <si>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</si>
  <si>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</si>
  <si>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</si>
  <si>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</si>
  <si>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</si>
  <si>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</si>
  <si>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</si>
  <si>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</si>
  <si>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</si>
  <si>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</si>
  <si>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</si>
  <si>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</si>
  <si>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</si>
  <si>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</si>
  <si>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</si>
  <si>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</si>
  <si>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</si>
  <si>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</si>
  <si>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</si>
  <si>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</si>
  <si>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</si>
  <si>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</si>
  <si>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</si>
  <si>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</si>
  <si>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</si>
  <si>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</si>
  <si>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</si>
  <si>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</si>
  <si>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</si>
  <si>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</si>
  <si>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</si>
  <si>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</si>
  <si>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</si>
  <si>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</si>
  <si>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</si>
  <si>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</si>
  <si>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</si>
  <si>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</si>
  <si>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</si>
  <si>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</si>
  <si>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</si>
  <si>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</si>
  <si>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</si>
  <si>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</si>
  <si>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</si>
  <si>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</si>
  <si>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</si>
  <si>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</si>
  <si>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</si>
  <si>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</si>
  <si>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</si>
  <si>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</si>
  <si>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</si>
  <si>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</si>
  <si>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</si>
  <si>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</si>
  <si>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</si>
  <si>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</si>
  <si>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</si>
  <si>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</si>
  <si>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</si>
  <si>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</si>
  <si>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</si>
  <si>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</si>
  <si>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</si>
  <si>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</si>
  <si>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</si>
  <si>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</si>
  <si>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</si>
  <si>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</si>
  <si>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</si>
  <si>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</si>
  <si>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</si>
  <si>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</si>
  <si>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</si>
  <si>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</si>
  <si>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</si>
  <si>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</si>
  <si>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</si>
  <si>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</si>
  <si>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</si>
  <si>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</si>
  <si>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</si>
  <si>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</si>
  <si>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</si>
  <si>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</si>
  <si>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</si>
  <si>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</si>
  <si>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</si>
  <si>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</si>
  <si>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</si>
  <si>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</si>
  <si>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</si>
  <si>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</si>
  <si>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</si>
  <si>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</si>
  <si>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</si>
  <si>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</si>
  <si>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</si>
  <si>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</si>
  <si>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</si>
  <si>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</si>
  <si>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</si>
  <si>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</si>
  <si>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</si>
  <si>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</si>
  <si>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</si>
  <si>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</si>
  <si>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</si>
  <si>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</si>
  <si>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</si>
  <si>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</si>
  <si>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</si>
  <si>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</si>
  <si>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</si>
  <si>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</si>
  <si>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</si>
  <si>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</si>
  <si>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</si>
  <si>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</si>
  <si>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</si>
  <si>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</si>
  <si>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</si>
  <si>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</si>
  <si>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</si>
  <si>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</si>
  <si>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</si>
  <si>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</si>
  <si>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</si>
  <si>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</si>
  <si>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</si>
  <si>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</si>
  <si>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</si>
  <si>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</si>
  <si>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</si>
  <si>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</si>
  <si>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</si>
  <si>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</si>
  <si>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</si>
  <si>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</si>
  <si>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</si>
  <si>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</si>
  <si>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</si>
  <si>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</si>
  <si>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</si>
  <si>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</si>
  <si>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</si>
  <si>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</si>
  <si>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</si>
  <si>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</si>
  <si>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</si>
  <si>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</si>
  <si>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</si>
  <si>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</si>
  <si>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</si>
  <si>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</si>
  <si>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</si>
  <si>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</si>
  <si>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</si>
  <si>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</si>
  <si>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</si>
  <si>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</si>
  <si>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</si>
  <si>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</si>
  <si>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</si>
  <si>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</si>
  <si>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</si>
  <si>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</si>
  <si>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</si>
  <si>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</si>
  <si>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</si>
  <si>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</si>
  <si>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</si>
  <si>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</si>
  <si>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</si>
  <si>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</si>
  <si>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</si>
  <si>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</si>
  <si>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</si>
  <si>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</si>
  <si>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</si>
  <si>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</si>
  <si>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</si>
  <si>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</si>
  <si>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</si>
  <si>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</si>
  <si>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</si>
  <si>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</si>
  <si>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</si>
  <si>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</si>
  <si>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</si>
  <si>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</si>
  <si>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</si>
  <si>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</si>
  <si>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</si>
  <si>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</si>
  <si>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</si>
  <si>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</si>
  <si>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</si>
  <si>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</si>
  <si>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</si>
  <si>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</si>
  <si>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</si>
  <si>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</si>
  <si>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</si>
  <si>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</si>
  <si>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</si>
  <si>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</si>
  <si>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</si>
  <si>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</si>
  <si>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</si>
  <si>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</si>
  <si>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</si>
  <si>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</si>
  <si>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</si>
  <si>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</si>
  <si>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</si>
  <si>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</si>
  <si>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</si>
  <si>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</si>
  <si>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</si>
  <si>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</si>
  <si>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</si>
  <si>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</si>
  <si>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</si>
  <si>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</si>
  <si>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</si>
  <si>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</si>
  <si>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</si>
  <si>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</si>
  <si>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</si>
  <si>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</si>
  <si>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</si>
  <si>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</si>
  <si>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</si>
  <si>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</si>
  <si>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</si>
  <si>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</si>
  <si>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</si>
  <si>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</si>
  <si>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</si>
  <si>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</si>
  <si>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</si>
  <si>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</si>
  <si>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</si>
  <si>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</si>
  <si>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</si>
  <si>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</si>
  <si>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</si>
  <si>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</si>
  <si>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</si>
  <si>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</si>
  <si>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</si>
  <si>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</si>
  <si>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</si>
  <si>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</si>
  <si>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</si>
  <si>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</si>
  <si>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</si>
  <si>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</si>
  <si>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</si>
  <si>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</si>
  <si>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</si>
  <si>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</si>
  <si>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</si>
  <si>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</si>
  <si>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</si>
  <si>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</si>
  <si>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</si>
  <si>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</si>
  <si>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</si>
  <si>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</si>
  <si>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</si>
  <si>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</si>
  <si>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</si>
  <si>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</si>
  <si>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</si>
  <si>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</si>
  <si>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</si>
  <si>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</si>
  <si>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</si>
  <si>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</si>
  <si>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</si>
  <si>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</si>
  <si>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</si>
  <si>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</si>
  <si>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</si>
  <si>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</si>
  <si>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</si>
  <si>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</si>
  <si>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</si>
  <si>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</si>
  <si>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</si>
  <si>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</si>
  <si>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</si>
  <si>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</si>
  <si>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</si>
  <si>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</si>
  <si>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</si>
  <si>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</si>
  <si>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</si>
  <si>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</si>
  <si>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</si>
  <si>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</si>
  <si>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</si>
  <si>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</si>
  <si>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</si>
  <si>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</si>
  <si>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</si>
  <si>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</si>
  <si>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</si>
  <si>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</si>
  <si>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</si>
  <si>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</si>
  <si>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</si>
  <si>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</si>
  <si>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</si>
  <si>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</si>
  <si>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</si>
  <si>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</si>
  <si>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</si>
  <si>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</si>
  <si>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</si>
  <si>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</si>
  <si>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</si>
  <si>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</si>
  <si>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</si>
  <si>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</si>
  <si>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</si>
  <si>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</si>
  <si>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</si>
  <si>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</si>
  <si>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</si>
  <si>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</si>
  <si>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</si>
  <si>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</si>
  <si>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</si>
  <si>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</si>
  <si>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</si>
  <si>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</si>
  <si>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</si>
  <si>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</si>
  <si>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</si>
  <si>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</si>
  <si>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</si>
  <si>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</si>
  <si>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</si>
  <si>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</si>
  <si>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</si>
  <si>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</si>
  <si>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</si>
  <si>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</si>
  <si>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</si>
  <si>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</si>
  <si>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</si>
  <si>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</si>
  <si>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</si>
  <si>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</si>
  <si>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</si>
  <si>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</si>
  <si>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</si>
  <si>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</si>
  <si>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</si>
  <si>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</si>
  <si>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</si>
  <si>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</si>
  <si>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</si>
  <si>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</si>
  <si>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</si>
  <si>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</si>
  <si>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</si>
  <si>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</si>
  <si>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</si>
  <si>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</si>
  <si>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</si>
  <si>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</si>
  <si>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</si>
  <si>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</si>
  <si>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</si>
  <si>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</si>
  <si>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</si>
  <si>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</si>
  <si>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</si>
  <si>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</si>
  <si>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</si>
  <si>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</si>
  <si>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</si>
  <si>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</si>
  <si>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</si>
  <si>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</si>
  <si>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</si>
  <si>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</si>
  <si>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</si>
  <si>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</si>
  <si>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</si>
  <si>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</si>
  <si>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</si>
  <si>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</si>
  <si>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</si>
  <si>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</si>
  <si>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</si>
  <si>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</si>
  <si>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</si>
  <si>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</si>
  <si>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</si>
  <si>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</si>
  <si>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</si>
  <si>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</si>
  <si>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</si>
  <si>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</si>
  <si>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</si>
  <si>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</si>
  <si>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</si>
  <si>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</si>
  <si>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</si>
  <si>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</si>
  <si>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</si>
  <si>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</si>
  <si>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</si>
  <si>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</si>
  <si>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</si>
  <si>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</si>
  <si>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</si>
  <si>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</si>
  <si>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</si>
  <si>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</si>
  <si>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</si>
  <si>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</si>
  <si>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</si>
  <si>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</si>
  <si>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</si>
  <si>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</si>
  <si>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</si>
  <si>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</si>
  <si>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</si>
  <si>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</si>
  <si>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</si>
  <si>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</si>
  <si>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</si>
  <si>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</si>
  <si>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</si>
  <si>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</si>
  <si>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</si>
  <si>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</si>
  <si>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</si>
  <si>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</si>
  <si>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</si>
  <si>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</si>
  <si>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</si>
  <si>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</si>
  <si>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</si>
  <si>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</si>
  <si>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</si>
  <si>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</si>
  <si>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</si>
  <si>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</si>
  <si>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</si>
  <si>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</si>
  <si>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</si>
  <si>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</si>
  <si>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</si>
  <si>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</si>
  <si>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</si>
  <si>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</si>
  <si>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</si>
  <si>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</si>
  <si>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</si>
  <si>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</si>
  <si>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</si>
  <si>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</si>
  <si>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</si>
  <si>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</si>
  <si>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</si>
  <si>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</si>
  <si>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</si>
  <si>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</si>
  <si>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</si>
  <si>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</si>
  <si>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</si>
  <si>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</si>
  <si>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</si>
  <si>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</si>
  <si>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</si>
  <si>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</si>
  <si>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</si>
  <si>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</si>
  <si>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</si>
  <si>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</si>
  <si>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</si>
  <si>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</si>
  <si>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</si>
  <si>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</si>
  <si>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</si>
  <si>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</si>
  <si>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</si>
  <si>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</si>
  <si>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</si>
  <si>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</si>
  <si>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</si>
  <si>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</si>
  <si>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</si>
  <si>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</si>
  <si>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</si>
  <si>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</si>
  <si>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</si>
  <si>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</si>
  <si>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</si>
  <si>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</si>
  <si>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</si>
  <si>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</si>
  <si>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</si>
  <si>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</si>
  <si>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</si>
  <si>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</si>
  <si>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</si>
  <si>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</si>
  <si>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</si>
  <si>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</si>
  <si>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</si>
  <si>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</si>
  <si>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</si>
  <si>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</si>
  <si>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</si>
  <si>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</si>
  <si>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</si>
  <si>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</si>
  <si>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</si>
  <si>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</si>
  <si>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</si>
  <si>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</si>
  <si>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</si>
  <si>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</si>
  <si>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</si>
  <si>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</si>
  <si>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</si>
  <si>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</si>
  <si>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</si>
  <si>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</si>
  <si>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</si>
  <si>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</si>
  <si>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</si>
  <si>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</si>
  <si>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</si>
  <si>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</si>
  <si>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</si>
  <si>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</si>
  <si>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</si>
  <si>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</si>
  <si>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</si>
  <si>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</si>
  <si>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</si>
  <si>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</si>
  <si>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</si>
  <si>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</si>
  <si>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</si>
  <si>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</si>
  <si>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</si>
  <si>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</si>
  <si>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</si>
  <si>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</si>
  <si>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</si>
  <si>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</si>
  <si>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</si>
  <si>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</si>
  <si>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</si>
  <si>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</si>
  <si>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</si>
  <si>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</si>
  <si>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</si>
  <si>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</si>
  <si>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</si>
  <si>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</si>
  <si>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</si>
  <si>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</si>
  <si>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</si>
  <si>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</si>
  <si>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</si>
  <si>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</si>
  <si>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</si>
  <si>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</si>
  <si>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</si>
  <si>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</si>
  <si>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</si>
  <si>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</si>
  <si>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</si>
  <si>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</si>
  <si>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</si>
  <si>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</si>
  <si>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</si>
  <si>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</si>
  <si>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</si>
  <si>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</si>
  <si>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</si>
  <si>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</si>
  <si>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</si>
  <si>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</si>
  <si>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</si>
  <si>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</si>
  <si>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</si>
  <si>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</si>
  <si>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</si>
  <si>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</si>
  <si>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</si>
  <si>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</si>
  <si>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</si>
  <si>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</si>
  <si>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</si>
  <si>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</si>
  <si>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</si>
  <si>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</si>
  <si>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</si>
  <si>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</si>
  <si>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</si>
  <si>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</si>
  <si>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</si>
  <si>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</si>
  <si>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</si>
  <si>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</si>
  <si>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</si>
  <si>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</si>
  <si>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</si>
  <si>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</si>
  <si>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</si>
  <si>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</si>
  <si>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</si>
  <si>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</si>
  <si>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</si>
  <si>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</si>
  <si>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</si>
  <si>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</si>
  <si>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</si>
  <si>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</si>
  <si>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</si>
  <si>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</si>
  <si>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</si>
  <si>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</si>
  <si>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</si>
  <si>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</si>
  <si>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</si>
  <si>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</si>
  <si>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</si>
  <si>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</si>
  <si>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</si>
  <si>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</si>
  <si>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</si>
  <si>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</si>
  <si>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</si>
  <si>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</si>
  <si>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</si>
  <si>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</si>
  <si>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</si>
  <si>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</si>
  <si>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</si>
  <si>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</si>
  <si>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</si>
  <si>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</si>
  <si>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</si>
  <si>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</si>
  <si>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</si>
  <si>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</si>
  <si>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</si>
  <si>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</si>
  <si>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</si>
  <si>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</si>
  <si>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</si>
  <si>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</si>
  <si>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</si>
  <si>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</si>
  <si>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</si>
  <si>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</si>
  <si>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</si>
  <si>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</si>
  <si>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</si>
  <si>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</si>
  <si>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</si>
  <si>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</si>
  <si>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</si>
  <si>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</si>
  <si>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</si>
  <si>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</si>
  <si>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</si>
  <si>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</si>
  <si>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</si>
  <si>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</si>
  <si>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</si>
  <si>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</si>
  <si>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</si>
  <si>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</si>
  <si>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</si>
  <si>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</si>
  <si>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</si>
  <si>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</si>
  <si>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</si>
  <si>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</si>
  <si>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</si>
  <si>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</si>
  <si>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</si>
  <si>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</si>
  <si>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</si>
  <si>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</si>
  <si>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</si>
  <si>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</si>
  <si>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</si>
  <si>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</si>
  <si>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</si>
  <si>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</si>
  <si>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</si>
  <si>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</si>
  <si>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</si>
  <si>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</si>
  <si>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</si>
  <si>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</si>
  <si>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</si>
  <si>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</si>
  <si>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</si>
  <si>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</si>
  <si>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</si>
  <si>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</si>
  <si>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</si>
  <si>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</si>
  <si>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</si>
  <si>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</si>
  <si>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</si>
  <si>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</si>
  <si>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</si>
  <si>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</si>
  <si>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</si>
  <si>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</si>
  <si>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</si>
  <si>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</si>
  <si>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</si>
  <si>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</si>
  <si>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</si>
  <si>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</si>
  <si>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</si>
  <si>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</si>
  <si>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</si>
  <si>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</si>
  <si>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</si>
  <si>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</si>
  <si>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</si>
  <si>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</si>
  <si>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</si>
  <si>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</si>
  <si>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</si>
  <si>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</si>
  <si>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</si>
  <si>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</si>
  <si>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</si>
  <si>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</si>
  <si>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</si>
  <si>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</si>
  <si>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</si>
  <si>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</si>
  <si>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</si>
  <si>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</si>
  <si>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</si>
  <si>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</si>
  <si>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</si>
  <si>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</si>
  <si>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</si>
  <si>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</si>
  <si>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</si>
  <si>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</si>
  <si>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</si>
  <si>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</si>
  <si>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</si>
  <si>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</si>
  <si>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</si>
  <si>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</si>
  <si>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</si>
  <si>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</si>
  <si>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</si>
  <si>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</si>
  <si>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</si>
  <si>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</si>
  <si>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</si>
  <si>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</si>
  <si>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</si>
  <si>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</si>
  <si>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</si>
  <si>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</si>
  <si>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</si>
  <si>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</si>
  <si>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</si>
  <si>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</si>
  <si>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</si>
  <si>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</si>
  <si>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</si>
  <si>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</si>
  <si>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</si>
  <si>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</si>
  <si>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</si>
  <si>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</si>
  <si>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</si>
  <si>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</si>
  <si>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</si>
  <si>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</si>
  <si>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</si>
  <si>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</si>
  <si>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</si>
  <si>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</si>
  <si>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</si>
  <si>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</si>
  <si>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</si>
  <si>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</si>
  <si>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</si>
  <si>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</si>
  <si>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</si>
  <si>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</si>
  <si>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</si>
  <si>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</si>
  <si>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</si>
  <si>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</si>
  <si>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</si>
  <si>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</si>
  <si>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</si>
  <si>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</si>
  <si>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</si>
  <si>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</si>
  <si>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</si>
  <si>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</si>
  <si>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</si>
  <si>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</si>
  <si>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</si>
  <si>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</si>
  <si>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</si>
  <si>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</si>
  <si>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</si>
  <si>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</si>
  <si>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</si>
  <si>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</si>
  <si>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</si>
  <si>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</si>
  <si>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</si>
  <si>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</si>
  <si>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</si>
  <si>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</si>
  <si>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</si>
  <si>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</si>
  <si>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</si>
  <si>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</si>
  <si>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</si>
  <si>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</si>
  <si>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</si>
  <si>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</si>
  <si>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</si>
  <si>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</si>
  <si>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</si>
  <si>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</si>
  <si>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</si>
  <si>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</si>
  <si>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</si>
  <si>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</si>
  <si>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</si>
  <si>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</si>
  <si>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</si>
  <si>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</si>
  <si>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</si>
  <si>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</si>
  <si>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</si>
  <si>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</si>
  <si>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</si>
  <si>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</si>
  <si>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</si>
  <si>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</si>
  <si>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</si>
  <si>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</si>
  <si>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</si>
  <si>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</si>
  <si>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</si>
  <si>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</si>
  <si>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</si>
  <si>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</si>
  <si>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</si>
  <si>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</si>
  <si>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</si>
  <si>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</si>
  <si>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</si>
  <si>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</si>
  <si>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</si>
  <si>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</si>
  <si>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</si>
  <si>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</si>
  <si>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</si>
  <si>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</si>
  <si>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</si>
  <si>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</si>
  <si>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</si>
  <si>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</si>
  <si>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</si>
  <si>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</si>
  <si>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</si>
  <si>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</si>
  <si>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</si>
  <si>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</si>
  <si>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</si>
  <si>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</si>
  <si>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</si>
  <si>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</si>
  <si>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</si>
  <si>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</si>
  <si>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</si>
  <si>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</si>
  <si>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</si>
  <si>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</si>
  <si>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</si>
  <si>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</si>
  <si>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</si>
  <si>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</si>
  <si>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</si>
  <si>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</si>
  <si>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</si>
  <si>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</si>
  <si>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</si>
  <si>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</si>
  <si>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</si>
  <si>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</si>
  <si>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</si>
  <si>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</si>
  <si>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</si>
  <si>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</si>
  <si>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</si>
  <si>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</si>
  <si>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</si>
  <si>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</si>
  <si>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</si>
  <si>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</si>
  <si>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</si>
  <si>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</si>
  <si>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</si>
  <si>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</si>
  <si>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</si>
  <si>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</si>
  <si>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</si>
  <si>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</si>
  <si>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</si>
  <si>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</si>
  <si>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</si>
  <si>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</si>
  <si>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</si>
  <si>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</si>
  <si>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</si>
  <si>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</si>
  <si>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</si>
  <si>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</si>
  <si>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</si>
  <si>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</si>
  <si>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</si>
  <si>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</si>
  <si>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</si>
  <si>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</si>
  <si>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</si>
  <si>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</si>
  <si>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</si>
  <si>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</si>
  <si>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</si>
  <si>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</si>
  <si>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</si>
  <si>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</si>
  <si>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</si>
  <si>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</si>
  <si>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</si>
  <si>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</si>
  <si>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</si>
  <si>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</si>
  <si>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</si>
  <si>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</si>
  <si>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</si>
  <si>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</si>
  <si>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</si>
  <si>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</si>
  <si>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</si>
  <si>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</si>
  <si>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</si>
  <si>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</si>
  <si>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</si>
  <si>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</si>
  <si>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</si>
  <si>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</si>
  <si>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</si>
  <si>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</si>
  <si>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</si>
  <si>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</si>
  <si>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</si>
  <si>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</si>
  <si>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</si>
  <si>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</si>
  <si>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</si>
  <si>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</si>
  <si>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</si>
  <si>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</si>
  <si>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</si>
  <si>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</si>
  <si>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</si>
  <si>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</si>
  <si>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</si>
  <si>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</si>
  <si>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</si>
  <si>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</si>
  <si>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</si>
  <si>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</si>
  <si>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</si>
  <si>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</si>
  <si>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</si>
  <si>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</si>
  <si>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</si>
  <si>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</si>
  <si>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</si>
  <si>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</si>
  <si>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</si>
  <si>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</si>
  <si>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</si>
  <si>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</si>
  <si>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</si>
  <si>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</si>
  <si>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</si>
  <si>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</si>
  <si>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</si>
  <si>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</si>
  <si>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</si>
  <si>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</si>
  <si>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</si>
  <si>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</si>
  <si>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</si>
  <si>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</si>
  <si>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</si>
  <si>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</si>
  <si>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</si>
  <si>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</si>
  <si>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</si>
  <si>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</si>
  <si>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</si>
  <si>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</si>
  <si>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</si>
  <si>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</si>
  <si>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</si>
  <si>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</si>
  <si>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</si>
  <si>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</si>
  <si>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</si>
  <si>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</si>
  <si>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</si>
  <si>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</si>
  <si>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</si>
  <si>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</si>
  <si>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</si>
  <si>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</si>
  <si>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</si>
  <si>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</si>
  <si>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</si>
  <si>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</si>
  <si>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</si>
  <si>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</si>
  <si>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</si>
  <si>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</si>
  <si>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</si>
  <si>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</si>
  <si>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</si>
  <si>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</si>
  <si>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</si>
  <si>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</si>
  <si>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</si>
  <si>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</si>
  <si>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</si>
  <si>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</si>
  <si>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</si>
  <si>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</si>
  <si>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</si>
  <si>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</si>
  <si>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</si>
  <si>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</si>
  <si>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</si>
  <si>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</si>
  <si>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</si>
  <si>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</si>
  <si>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</si>
  <si>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</si>
  <si>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</si>
  <si>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</si>
  <si>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</si>
  <si>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</si>
  <si>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</si>
  <si>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</si>
  <si>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</si>
  <si>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</si>
  <si>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</si>
  <si>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</si>
  <si>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</si>
  <si>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</si>
  <si>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</si>
  <si>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</si>
  <si>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</si>
  <si>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</si>
  <si>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</si>
  <si>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</si>
  <si>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</si>
  <si>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</si>
  <si>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</si>
  <si>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</si>
  <si>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</si>
  <si>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</si>
  <si>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</si>
  <si>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</si>
  <si>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</si>
  <si>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</si>
  <si>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</si>
  <si>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</si>
  <si>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</si>
  <si>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</si>
  <si>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</si>
  <si>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</si>
  <si>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</si>
  <si>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</si>
  <si>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</si>
  <si>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</si>
  <si>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</si>
  <si>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</si>
  <si>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</si>
  <si>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</si>
  <si>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</si>
  <si>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</si>
  <si>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</si>
  <si>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</si>
  <si>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</si>
  <si>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</si>
  <si>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</si>
  <si>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</si>
  <si>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</si>
  <si>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</si>
  <si>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</si>
  <si>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</si>
  <si>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</si>
  <si>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</si>
  <si>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</si>
  <si>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</si>
  <si>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</si>
  <si>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</si>
  <si>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</si>
  <si>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</si>
  <si>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</si>
  <si>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</si>
  <si>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</si>
  <si>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</si>
  <si>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</si>
  <si>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</si>
  <si>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</si>
  <si>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</si>
  <si>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</si>
  <si>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</si>
  <si>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</si>
  <si>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</si>
  <si>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</si>
  <si>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</si>
  <si>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</si>
  <si>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</si>
  <si>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</si>
  <si>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</si>
  <si>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</si>
  <si>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</si>
  <si>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</si>
  <si>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</si>
  <si>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</si>
  <si>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</si>
  <si>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</si>
  <si>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</si>
  <si>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</si>
  <si>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</si>
  <si>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</si>
  <si>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</si>
  <si>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</si>
  <si>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</si>
  <si>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</si>
  <si>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</si>
  <si>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</si>
  <si>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</si>
  <si>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</si>
  <si>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</si>
  <si>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</si>
  <si>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</si>
  <si>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</si>
  <si>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</si>
  <si>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</si>
  <si>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</si>
  <si>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</si>
  <si>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</si>
  <si>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</si>
  <si>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</si>
  <si>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</si>
  <si>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</si>
  <si>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</si>
  <si>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</si>
  <si>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</si>
  <si>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</si>
  <si>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</si>
  <si>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</si>
  <si>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</si>
  <si>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</si>
  <si>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</si>
  <si>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</si>
  <si>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</si>
  <si>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</si>
  <si>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</si>
  <si>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</si>
  <si>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</si>
  <si>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</si>
  <si>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</si>
  <si>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</si>
  <si>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</si>
  <si>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</si>
  <si>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</si>
  <si>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</si>
  <si>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</si>
  <si>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</si>
  <si>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</si>
  <si>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</si>
  <si>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</si>
  <si>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</si>
  <si>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</si>
  <si>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</si>
  <si>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</si>
  <si>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</si>
  <si>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</si>
  <si>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</si>
  <si>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</si>
  <si>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</si>
  <si>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</si>
  <si>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</si>
  <si>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</si>
  <si>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</si>
  <si>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</si>
  <si>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</si>
  <si>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</si>
  <si>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</si>
  <si>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</si>
  <si>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</si>
  <si>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</si>
  <si>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</si>
  <si>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</si>
  <si>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</si>
  <si>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</si>
  <si>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</si>
  <si>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</si>
  <si>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</si>
  <si>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</si>
  <si>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</si>
  <si>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</si>
  <si>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</si>
  <si>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</si>
  <si>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</si>
  <si>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</si>
  <si>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</si>
  <si>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</si>
  <si>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</si>
  <si>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</si>
  <si>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</si>
  <si>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</si>
  <si>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</si>
  <si>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</si>
  <si>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</si>
  <si>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</si>
  <si>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</si>
  <si>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</si>
  <si>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</si>
  <si>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</si>
  <si>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</si>
  <si>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</si>
  <si>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</si>
  <si>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</si>
  <si>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</si>
  <si>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</si>
  <si>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</si>
  <si>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</si>
  <si>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</si>
  <si>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</si>
  <si>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</si>
  <si>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</si>
  <si>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</si>
  <si>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</si>
  <si>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</si>
  <si>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</si>
  <si>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</si>
  <si>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</si>
  <si>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</si>
  <si>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</si>
  <si>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</si>
  <si>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</si>
  <si>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</si>
  <si>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</si>
  <si>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</si>
  <si>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</si>
  <si>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</si>
  <si>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</si>
  <si>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</si>
  <si>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</si>
  <si>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</si>
  <si>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</si>
  <si>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</si>
  <si>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</si>
  <si>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</si>
  <si>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</si>
  <si>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</si>
  <si>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</si>
  <si>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</si>
  <si>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</si>
  <si>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</si>
  <si>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</si>
  <si>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</si>
  <si>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</si>
  <si>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</si>
  <si>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</si>
  <si>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</si>
  <si>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</si>
  <si>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</si>
  <si>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</si>
  <si>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</si>
  <si>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</si>
  <si>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</si>
  <si>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</si>
  <si>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</si>
  <si>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</si>
  <si>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</si>
  <si>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</si>
  <si>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</si>
  <si>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</si>
  <si>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</si>
  <si>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</si>
  <si>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</si>
  <si>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</si>
  <si>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</si>
  <si>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</si>
  <si>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</si>
  <si>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</si>
  <si>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</si>
  <si>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</si>
  <si>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</si>
  <si>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</si>
  <si>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</si>
  <si>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</si>
  <si>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</si>
  <si>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</si>
  <si>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</si>
  <si>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</si>
  <si>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</si>
  <si>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</si>
  <si>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</si>
  <si>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</si>
  <si>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</si>
  <si>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</si>
  <si>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</si>
  <si>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</si>
  <si>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</si>
  <si>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</si>
  <si>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</si>
  <si>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</si>
  <si>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</si>
  <si>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</si>
  <si>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</si>
  <si>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</si>
  <si>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</si>
  <si>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</si>
  <si>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</si>
  <si>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</si>
  <si>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</si>
  <si>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</si>
  <si>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</si>
  <si>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</si>
  <si>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</si>
  <si>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</si>
  <si>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</si>
  <si>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</si>
  <si>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</si>
  <si>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</si>
  <si>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</si>
  <si>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</si>
  <si>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</si>
  <si>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</si>
  <si>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</si>
  <si>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</si>
  <si>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</si>
  <si>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</si>
  <si>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</si>
  <si>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</si>
  <si>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</si>
  <si>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</si>
  <si>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</si>
  <si>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</si>
  <si>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</si>
  <si>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</si>
  <si>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</si>
  <si>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</si>
  <si>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</si>
  <si>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</si>
  <si>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</si>
  <si>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</si>
  <si>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</si>
  <si>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</si>
  <si>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</si>
  <si>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</si>
  <si>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</si>
  <si>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</si>
  <si>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</si>
  <si>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</si>
  <si>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</si>
  <si>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</si>
  <si>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</si>
  <si>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</si>
  <si>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</si>
  <si>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</si>
  <si>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</si>
  <si>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</si>
  <si>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</si>
  <si>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</si>
  <si>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</si>
  <si>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</si>
  <si>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</si>
  <si>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</si>
  <si>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</si>
  <si>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</si>
  <si>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</si>
  <si>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</si>
  <si>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</si>
  <si>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</si>
  <si>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</si>
  <si>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</si>
  <si>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</si>
  <si>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</si>
  <si>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</si>
  <si>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</si>
  <si>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</si>
  <si>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</si>
  <si>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</si>
  <si>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</si>
  <si>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</si>
  <si>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</si>
  <si>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</si>
  <si>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</si>
  <si>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</si>
  <si>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</si>
  <si>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</si>
  <si>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</si>
  <si>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</si>
  <si>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</si>
  <si>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</si>
  <si>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</si>
  <si>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</si>
  <si>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</si>
  <si>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</si>
  <si>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</si>
  <si>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</si>
  <si>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</si>
  <si>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</si>
  <si>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</si>
  <si>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</si>
  <si>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</si>
  <si>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</si>
  <si>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</si>
  <si>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</si>
  <si>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</si>
  <si>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</si>
  <si>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</si>
  <si>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</si>
  <si>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</si>
  <si>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</si>
  <si>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</si>
  <si>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</si>
  <si>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</si>
  <si>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</si>
  <si>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</si>
  <si>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</si>
  <si>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</si>
  <si>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</si>
  <si>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</si>
  <si>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</si>
  <si>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</si>
  <si>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</si>
  <si>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</si>
  <si>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</si>
  <si>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</si>
  <si>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</si>
  <si>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</si>
  <si>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</si>
  <si>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</si>
  <si>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</si>
  <si>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</si>
  <si>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</si>
  <si>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</si>
  <si>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</si>
  <si>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</si>
  <si>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</si>
  <si>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</si>
  <si>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</si>
  <si>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</si>
  <si>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</si>
  <si>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</si>
  <si>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</si>
  <si>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</si>
  <si>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</si>
  <si>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</si>
  <si>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</si>
  <si>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</si>
  <si>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</si>
  <si>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</si>
  <si>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</si>
  <si>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</si>
  <si>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</si>
  <si>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</si>
  <si>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</si>
  <si>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</si>
  <si>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</si>
  <si>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</si>
  <si>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</si>
  <si>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</si>
  <si>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</si>
  <si>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</si>
  <si>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</si>
  <si>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</si>
  <si>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</si>
  <si>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</si>
  <si>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</si>
  <si>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</si>
  <si>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</si>
  <si>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</si>
  <si>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</si>
  <si>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</si>
  <si>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</si>
  <si>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</si>
  <si>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</si>
  <si>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</si>
  <si>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</si>
  <si>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</si>
  <si>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</si>
  <si>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</si>
  <si>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</si>
  <si>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</si>
  <si>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</si>
  <si>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</si>
  <si>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</si>
  <si>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</si>
  <si>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</si>
  <si>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</si>
  <si>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</si>
  <si>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</si>
  <si>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</si>
  <si>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</si>
  <si>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</si>
  <si>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</si>
  <si>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</si>
  <si>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</si>
  <si>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</si>
  <si>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</si>
  <si>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</si>
  <si>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</si>
  <si>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</si>
  <si>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</si>
  <si>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</si>
  <si>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</si>
  <si>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</si>
  <si>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</si>
  <si>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</si>
  <si>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</si>
  <si>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</si>
  <si>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</si>
  <si>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</si>
  <si>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</si>
  <si>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</si>
  <si>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</si>
  <si>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</si>
  <si>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</si>
  <si>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</si>
  <si>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</si>
  <si>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</si>
  <si>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</si>
  <si>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</si>
  <si>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</si>
  <si>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</si>
  <si>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</si>
  <si>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</si>
  <si>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</si>
  <si>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</si>
  <si>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</si>
  <si>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</si>
  <si>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</si>
  <si>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</si>
  <si>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</si>
  <si>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</si>
  <si>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</si>
  <si>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</si>
  <si>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</si>
  <si>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</si>
  <si>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</si>
  <si>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</si>
  <si>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</si>
  <si>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</si>
  <si>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</si>
  <si>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</si>
  <si>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</si>
  <si>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</si>
  <si>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</si>
  <si>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</si>
  <si>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</si>
  <si>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</si>
  <si>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</si>
  <si>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</si>
  <si>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</si>
  <si>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</si>
  <si>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</si>
  <si>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</si>
  <si>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</si>
  <si>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</si>
  <si>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</si>
  <si>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</si>
  <si>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</si>
  <si>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</si>
  <si>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</si>
  <si>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</si>
  <si>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</si>
  <si>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</si>
  <si>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</si>
  <si>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</si>
  <si>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</si>
  <si>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</si>
  <si>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</si>
  <si>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</si>
  <si>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</si>
  <si>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</si>
  <si>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</si>
  <si>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</si>
  <si>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</si>
  <si>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</si>
  <si>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</si>
  <si>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</si>
  <si>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</si>
  <si>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</si>
  <si>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</si>
  <si>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</si>
  <si>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</si>
  <si>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</si>
  <si>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</si>
  <si>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</si>
  <si>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</si>
  <si>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</si>
  <si>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</si>
  <si>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</si>
  <si>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</si>
  <si>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</si>
  <si>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</si>
  <si>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</si>
  <si>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</si>
  <si>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</si>
  <si>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</si>
  <si>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</si>
  <si>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</si>
  <si>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</si>
  <si>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</si>
  <si>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</si>
  <si>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</si>
  <si>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</si>
  <si>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</si>
  <si>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</si>
  <si>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</si>
  <si>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</si>
  <si>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</si>
  <si>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</si>
  <si>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</si>
  <si>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</si>
  <si>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</si>
  <si>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</si>
  <si>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</si>
  <si>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</si>
  <si>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</si>
  <si>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</si>
  <si>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</si>
  <si>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</si>
  <si>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</si>
  <si>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</si>
  <si>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</si>
  <si>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</si>
  <si>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</si>
  <si>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</si>
  <si>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</si>
  <si>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</si>
  <si>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</si>
  <si>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</si>
  <si>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</si>
  <si>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</si>
  <si>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</si>
  <si>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</si>
  <si>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</si>
  <si>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</si>
  <si>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</si>
  <si>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</si>
  <si>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</si>
  <si>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</si>
  <si>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</si>
  <si>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</si>
  <si>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</si>
  <si>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</si>
  <si>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</si>
  <si>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</si>
  <si>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</si>
  <si>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</si>
  <si>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</si>
  <si>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</si>
  <si>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</si>
  <si>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</si>
  <si>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</si>
  <si>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</si>
  <si>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</si>
  <si>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</si>
  <si>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</si>
  <si>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</si>
  <si>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</si>
  <si>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</si>
  <si>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</si>
  <si>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</si>
  <si>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</si>
  <si>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</si>
  <si>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</si>
  <si>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</si>
  <si>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</si>
  <si>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</si>
  <si>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</si>
  <si>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</si>
  <si>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</si>
  <si>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</si>
  <si>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</si>
  <si>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</si>
  <si>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</si>
  <si>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</si>
  <si>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</si>
  <si>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</si>
  <si>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</si>
  <si>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</si>
  <si>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</si>
  <si>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</si>
  <si>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</si>
  <si>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</si>
  <si>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</si>
  <si>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</si>
  <si>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</si>
  <si>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</si>
  <si>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</si>
  <si>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</si>
  <si>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</si>
  <si>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</si>
  <si>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</si>
  <si>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</si>
  <si>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</si>
  <si>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</si>
  <si>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</si>
  <si>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</si>
  <si>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</si>
  <si>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</si>
  <si>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</si>
  <si>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</si>
  <si>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</si>
  <si>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</si>
  <si>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</si>
  <si>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</si>
  <si>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</si>
  <si>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</si>
  <si>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</si>
  <si>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</si>
  <si>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</si>
  <si>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</si>
  <si>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</si>
  <si>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</si>
  <si>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</si>
  <si>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</si>
  <si>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</si>
  <si>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</si>
  <si>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</si>
  <si>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</si>
  <si>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</si>
  <si>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</si>
  <si>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</si>
  <si>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</si>
  <si>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</si>
  <si>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</si>
  <si>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</si>
  <si>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</si>
  <si>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</si>
  <si>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</si>
  <si>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</si>
  <si>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</si>
  <si>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</si>
  <si>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</si>
  <si>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</si>
  <si>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</si>
  <si>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</si>
  <si>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</si>
  <si>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</si>
  <si>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</si>
  <si>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</si>
  <si>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</si>
  <si>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</si>
  <si>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</si>
  <si>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</si>
  <si>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</si>
  <si>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</si>
  <si>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</si>
  <si>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</si>
  <si>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</si>
  <si>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</si>
  <si>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</si>
  <si>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</si>
  <si>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</si>
  <si>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</si>
  <si>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</si>
  <si>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</si>
  <si>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</si>
  <si>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</si>
  <si>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</si>
  <si>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</si>
  <si>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</si>
  <si>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</si>
  <si>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</si>
  <si>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</si>
  <si>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</si>
  <si>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</si>
  <si>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</si>
  <si>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</si>
  <si>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</si>
  <si>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</si>
  <si>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</si>
  <si>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</si>
  <si>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</si>
  <si>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</si>
  <si>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</si>
  <si>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</si>
  <si>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</si>
  <si>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</si>
  <si>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</si>
  <si>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</si>
  <si>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</si>
  <si>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</si>
  <si>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</si>
  <si>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</si>
  <si>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</si>
  <si>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</si>
  <si>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</si>
  <si>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</si>
  <si>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</si>
  <si>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</si>
  <si>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</si>
  <si>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</si>
  <si>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</si>
  <si>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</si>
  <si>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</si>
  <si>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</si>
  <si>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</si>
  <si>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</si>
  <si>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</si>
  <si>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</si>
  <si>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</si>
  <si>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</si>
  <si>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</si>
  <si>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</si>
  <si>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</si>
  <si>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</si>
  <si>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</si>
  <si>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</si>
  <si>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</si>
  <si>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</si>
  <si>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</si>
  <si>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</si>
  <si>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</si>
  <si>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</si>
  <si>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</si>
  <si>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</si>
  <si>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</si>
  <si>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</si>
  <si>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</si>
  <si>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</si>
  <si>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</si>
  <si>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</si>
  <si>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</si>
  <si>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</si>
  <si>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</si>
  <si>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</si>
  <si>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</si>
  <si>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</si>
  <si>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</si>
  <si>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</si>
  <si>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</si>
  <si>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</si>
  <si>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</si>
  <si>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</si>
  <si>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</si>
  <si>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</si>
  <si>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</si>
  <si>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</si>
  <si>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</si>
  <si>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</si>
  <si>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</si>
  <si>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</si>
  <si>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</si>
  <si>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</si>
  <si>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</si>
  <si>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</si>
  <si>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</si>
  <si>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</si>
  <si>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</si>
  <si>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</si>
  <si>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</si>
  <si>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</si>
  <si>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</si>
  <si>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</si>
  <si>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</si>
  <si>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</si>
  <si>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</si>
  <si>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</si>
  <si>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</si>
  <si>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</si>
  <si>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</si>
  <si>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</si>
  <si>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</si>
  <si>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</si>
  <si>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</si>
  <si>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</si>
  <si>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</si>
  <si>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</si>
  <si>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</si>
  <si>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</si>
  <si>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</si>
  <si>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</si>
  <si>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</si>
  <si>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</si>
  <si>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</si>
  <si>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</si>
  <si>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</si>
  <si>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</si>
  <si>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</si>
  <si>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</si>
  <si>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</si>
  <si>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</si>
  <si>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</si>
  <si>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</si>
  <si>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</si>
  <si>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</si>
  <si>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</si>
  <si>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</si>
  <si>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</si>
  <si>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</si>
  <si>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</si>
  <si>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</si>
  <si>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</si>
  <si>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</si>
  <si>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</si>
  <si>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</si>
  <si>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</si>
  <si>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</si>
  <si>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</si>
  <si>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</si>
  <si>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</si>
  <si>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</si>
  <si>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</si>
  <si>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</si>
  <si>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</si>
  <si>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</si>
  <si>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</si>
  <si>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</si>
  <si>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</si>
  <si>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</si>
  <si>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</si>
  <si>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</si>
  <si>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</si>
  <si>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</si>
  <si>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</si>
  <si>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</si>
  <si>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</si>
  <si>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</si>
  <si>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</si>
  <si>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</si>
  <si>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</si>
  <si>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</si>
  <si>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</si>
  <si>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</si>
  <si>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</si>
  <si>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</si>
  <si>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</si>
  <si>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</si>
  <si>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</si>
  <si>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</si>
  <si>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</si>
  <si>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</si>
  <si>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</si>
  <si>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</si>
  <si>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</si>
  <si>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</si>
  <si>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</si>
  <si>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</si>
  <si>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</si>
  <si>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</si>
  <si>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</si>
  <si>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</si>
  <si>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</si>
  <si>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</si>
  <si>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</si>
  <si>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</si>
  <si>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</si>
  <si>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</si>
  <si>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</si>
  <si>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</si>
  <si>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</si>
  <si>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</si>
  <si>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</si>
  <si>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</si>
  <si>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</si>
  <si>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</si>
  <si>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</si>
  <si>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</si>
  <si>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</si>
  <si>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</si>
  <si>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</si>
  <si>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</si>
  <si>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</si>
  <si>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</si>
  <si>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</si>
  <si>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</si>
  <si>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</si>
  <si>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</si>
  <si>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</si>
  <si>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</si>
  <si>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</si>
  <si>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</si>
  <si>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</si>
  <si>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</si>
  <si>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</si>
  <si>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</si>
  <si>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</si>
  <si>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</si>
  <si>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</si>
  <si>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</si>
  <si>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</si>
  <si>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</si>
  <si>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</si>
  <si>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</si>
  <si>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</si>
  <si>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</si>
  <si>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</si>
  <si>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</si>
  <si>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</si>
  <si>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</si>
  <si>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</si>
  <si>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</si>
  <si>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</si>
  <si>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</si>
  <si>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</si>
  <si>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</si>
  <si>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</si>
  <si>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</si>
  <si>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</si>
  <si>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</si>
  <si>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</si>
  <si>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</si>
  <si>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</si>
  <si>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</si>
  <si>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</si>
  <si>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</si>
  <si>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</si>
  <si>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</si>
  <si>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</si>
  <si>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</si>
  <si>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</si>
  <si>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</si>
  <si>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</si>
  <si>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</si>
  <si>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</si>
  <si>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</si>
  <si>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</si>
  <si>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</si>
  <si>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</si>
  <si>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</si>
  <si>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</si>
  <si>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</si>
  <si>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</si>
  <si>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</si>
  <si>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</si>
  <si>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</si>
  <si>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</si>
  <si>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</si>
  <si>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</si>
  <si>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</si>
  <si>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</si>
  <si>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</si>
  <si>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</si>
  <si>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</si>
  <si>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</si>
  <si>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</si>
  <si>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</si>
  <si>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</si>
  <si>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</si>
  <si>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</si>
  <si>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</si>
  <si>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</si>
  <si>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</si>
  <si>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</si>
  <si>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</si>
  <si>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</si>
  <si>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</si>
  <si>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</si>
  <si>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</si>
  <si>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</si>
  <si>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</si>
  <si>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</si>
  <si>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</si>
  <si>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</si>
  <si>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</si>
  <si>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</si>
  <si>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</si>
  <si>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</si>
  <si>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</si>
  <si>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</si>
  <si>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</si>
  <si>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</si>
  <si>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</si>
  <si>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</si>
  <si>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</si>
  <si>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</si>
  <si>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</si>
  <si>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</si>
  <si>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</si>
  <si>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</si>
  <si>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</si>
  <si>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</si>
  <si>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</si>
  <si>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</si>
  <si>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</si>
  <si>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</si>
  <si>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</si>
  <si>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</si>
  <si>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</si>
  <si>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</si>
  <si>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</si>
  <si>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</si>
  <si>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</si>
  <si>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</si>
  <si>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</si>
  <si>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</si>
  <si>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</si>
  <si>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</si>
  <si>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</si>
  <si>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</si>
  <si>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</si>
  <si>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</si>
  <si>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</si>
  <si>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</si>
  <si>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</si>
  <si>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</si>
  <si>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</si>
  <si>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</si>
  <si>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</si>
  <si>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</si>
  <si>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</si>
  <si>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</si>
  <si>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</si>
  <si>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</si>
  <si>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</si>
  <si>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</si>
  <si>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</si>
  <si>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</si>
  <si>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</si>
  <si>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</si>
  <si>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</si>
  <si>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</si>
  <si>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</si>
  <si>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</si>
  <si>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</si>
  <si>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</si>
  <si>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</si>
  <si>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</si>
  <si>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</si>
  <si>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</si>
  <si>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</si>
  <si>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</si>
  <si>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</si>
  <si>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</si>
  <si>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</si>
  <si>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</si>
  <si>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</si>
  <si>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</si>
  <si>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</si>
  <si>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</si>
  <si>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</si>
  <si>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</si>
  <si>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</si>
  <si>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</si>
  <si>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</si>
  <si>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</si>
  <si>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</si>
  <si>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</si>
  <si>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</si>
  <si>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</si>
  <si>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</si>
  <si>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</si>
  <si>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</si>
  <si>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</si>
  <si>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</si>
  <si>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</si>
  <si>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</si>
  <si>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</si>
  <si>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</si>
  <si>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</si>
  <si>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</si>
  <si>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</si>
  <si>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</si>
  <si>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</si>
  <si>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</si>
  <si>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</si>
  <si>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</si>
  <si>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</si>
  <si>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</si>
  <si>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</si>
  <si>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</si>
  <si>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</si>
  <si>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</si>
  <si>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</si>
  <si>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</si>
  <si>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</si>
  <si>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</si>
  <si>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</si>
  <si>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</si>
  <si>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</si>
  <si>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</si>
  <si>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</si>
  <si>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</si>
  <si>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</si>
  <si>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</si>
  <si>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</si>
  <si>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</si>
  <si>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</si>
  <si>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</si>
  <si>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</si>
  <si>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</si>
  <si>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</si>
  <si>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</si>
  <si>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</si>
  <si>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</si>
  <si>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</si>
  <si>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</si>
  <si>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</si>
  <si>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</si>
  <si>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</si>
  <si>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</si>
  <si>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</si>
  <si>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</si>
  <si>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</si>
  <si>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</si>
  <si>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</si>
  <si>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</si>
  <si>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</si>
  <si>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</si>
  <si>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</si>
  <si>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</si>
  <si>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</si>
  <si>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</si>
  <si>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</si>
  <si>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</si>
  <si>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</si>
  <si>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</si>
  <si>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</si>
  <si>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</si>
  <si>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</si>
  <si>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</si>
  <si>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</si>
  <si>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</si>
  <si>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</si>
  <si>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</si>
  <si>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</si>
  <si>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</si>
  <si>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</si>
  <si>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</si>
  <si>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</si>
  <si>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</si>
  <si>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</si>
  <si>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</si>
  <si>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</si>
  <si>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</si>
  <si>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</si>
  <si>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</si>
  <si>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</si>
  <si>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</si>
  <si>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</si>
  <si>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</si>
  <si>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</si>
  <si>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</si>
  <si>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</si>
  <si>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</si>
  <si>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</si>
  <si>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</si>
  <si>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</si>
  <si>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</si>
  <si>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</si>
  <si>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</si>
  <si>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</si>
  <si>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</si>
  <si>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</si>
  <si>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</si>
  <si>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</si>
  <si>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</si>
  <si>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</si>
  <si>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</si>
  <si>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</si>
  <si>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</si>
  <si>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</si>
  <si>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</si>
  <si>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</si>
  <si>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</si>
  <si>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</si>
  <si>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</si>
  <si>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</si>
  <si>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</si>
  <si>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</si>
  <si>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</si>
  <si>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</si>
  <si>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</si>
  <si>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</si>
  <si>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</si>
  <si>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</si>
  <si>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</si>
  <si>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</si>
  <si>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</si>
  <si>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</si>
  <si>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</si>
  <si>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</si>
  <si>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</si>
  <si>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</si>
  <si>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</si>
  <si>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</si>
  <si>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</si>
  <si>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</si>
  <si>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</si>
  <si>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</si>
  <si>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</si>
  <si>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</si>
  <si>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</si>
  <si>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</si>
  <si>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</si>
  <si>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</si>
  <si>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</si>
  <si>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</si>
  <si>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</si>
  <si>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</si>
  <si>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</si>
  <si>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</si>
  <si>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</si>
  <si>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</si>
  <si>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</si>
  <si>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</si>
  <si>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</si>
  <si>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</si>
  <si>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</si>
  <si>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</si>
  <si>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</si>
  <si>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</si>
  <si>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</si>
  <si>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</si>
  <si>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</si>
  <si>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</si>
  <si>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</si>
  <si>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</si>
  <si>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</si>
  <si>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</si>
  <si>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</si>
  <si>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</si>
  <si>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</si>
  <si>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</si>
  <si>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</si>
  <si>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</si>
  <si>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</si>
  <si>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</si>
  <si>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</si>
  <si>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</si>
  <si>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</si>
  <si>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</si>
  <si>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</si>
  <si>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</si>
  <si>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</si>
  <si>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</si>
  <si>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</si>
  <si>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</si>
  <si>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</si>
  <si>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</si>
  <si>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</si>
  <si>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</si>
  <si>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</si>
  <si>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</si>
  <si>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</si>
  <si>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</si>
  <si>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</si>
  <si>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</si>
  <si>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</si>
  <si>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</si>
  <si>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</si>
  <si>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</si>
  <si>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</si>
  <si>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</si>
  <si>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</si>
  <si>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</si>
  <si>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</si>
  <si>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</si>
  <si>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</si>
  <si>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</si>
  <si>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</si>
  <si>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</si>
  <si>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</si>
  <si>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</si>
  <si>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</si>
  <si>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</si>
  <si>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</si>
  <si>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</si>
  <si>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</si>
  <si>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</si>
  <si>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</si>
  <si>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</si>
  <si>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</si>
  <si>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</si>
  <si>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</si>
  <si>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</si>
  <si>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</si>
  <si>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</si>
  <si>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</si>
  <si>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</si>
  <si>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</si>
  <si>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</si>
  <si>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</si>
  <si>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</si>
  <si>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</si>
  <si>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</si>
  <si>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</si>
  <si>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</si>
  <si>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</si>
  <si>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</si>
  <si>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</si>
  <si>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</si>
  <si>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</si>
  <si>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</si>
  <si>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</si>
  <si>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</si>
  <si>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</si>
  <si>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</si>
  <si>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</si>
  <si>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</si>
  <si>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</si>
  <si>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</si>
  <si>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</si>
  <si>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</si>
  <si>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</si>
  <si>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</si>
  <si>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</si>
  <si>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</si>
  <si>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</si>
  <si>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</si>
  <si>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</si>
  <si>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</si>
  <si>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</si>
  <si>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</si>
  <si>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</si>
  <si>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</si>
  <si>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</si>
  <si>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</si>
  <si>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</si>
  <si>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</si>
  <si>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</si>
  <si>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</si>
  <si>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</si>
  <si>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</si>
  <si>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</si>
  <si>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</si>
  <si>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</si>
  <si>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</si>
  <si>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</si>
  <si>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</si>
  <si>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</si>
  <si>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</si>
  <si>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</si>
  <si>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</si>
  <si>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</si>
  <si>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</si>
  <si>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</si>
  <si>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</si>
  <si>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</si>
  <si>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</si>
  <si>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</si>
  <si>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</si>
  <si>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</si>
  <si>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</si>
  <si>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</si>
  <si>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</si>
  <si>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</si>
  <si>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</si>
  <si>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</si>
  <si>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</si>
  <si>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</si>
  <si>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</si>
  <si>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</si>
  <si>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</si>
  <si>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</si>
  <si>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</si>
  <si>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</si>
  <si>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</si>
  <si>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</si>
  <si>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</si>
  <si>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</si>
  <si>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</si>
  <si>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</si>
  <si>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</si>
  <si>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</si>
  <si>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</si>
  <si>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</si>
  <si>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</si>
  <si>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</si>
  <si>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</si>
  <si>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</si>
  <si>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</si>
  <si>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</si>
  <si>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</si>
  <si>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</si>
  <si>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</si>
  <si>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</si>
  <si>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</si>
  <si>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</si>
  <si>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</si>
  <si>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</si>
  <si>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</si>
  <si>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</si>
  <si>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</si>
  <si>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</si>
  <si>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</si>
  <si>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</si>
  <si>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</si>
  <si>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</si>
  <si>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</si>
  <si>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</si>
  <si>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</si>
  <si>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</si>
  <si>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</si>
  <si>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</si>
  <si>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</si>
  <si>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</si>
  <si>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</si>
  <si>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</si>
  <si>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</si>
  <si>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</si>
  <si>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</si>
  <si>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</si>
  <si>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</si>
  <si>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</si>
  <si>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</si>
  <si>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</si>
  <si>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</si>
  <si>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</si>
  <si>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</si>
  <si>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</si>
  <si>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</si>
  <si>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</si>
  <si>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</si>
  <si>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</si>
  <si>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</si>
  <si>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</si>
  <si>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</si>
  <si>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</si>
  <si>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</si>
  <si>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</si>
  <si>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</si>
  <si>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</si>
  <si>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</si>
  <si>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</si>
  <si>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</si>
  <si>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</si>
  <si>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</si>
  <si>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</si>
  <si>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</si>
  <si>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</si>
  <si>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</si>
  <si>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</si>
  <si>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</si>
  <si>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</si>
  <si>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</si>
  <si>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</si>
  <si>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</si>
  <si>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</si>
  <si>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</si>
  <si>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</si>
  <si>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</si>
  <si>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</si>
  <si>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</si>
  <si>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</si>
  <si>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</si>
  <si>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</si>
  <si>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</si>
  <si>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</si>
  <si>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</si>
  <si>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</si>
  <si>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</si>
  <si>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</si>
  <si>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</si>
  <si>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</si>
  <si>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</si>
  <si>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</si>
  <si>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</si>
  <si>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</si>
  <si>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</si>
  <si>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</si>
  <si>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</si>
  <si>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</si>
  <si>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</si>
  <si>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</si>
  <si>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</si>
  <si>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</si>
  <si>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</si>
  <si>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</si>
  <si>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</si>
  <si>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</si>
  <si>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</si>
  <si>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</si>
  <si>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</si>
  <si>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</si>
  <si>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</si>
  <si>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</si>
  <si>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</si>
  <si>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</si>
  <si>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</si>
  <si>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</si>
  <si>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</si>
  <si>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</si>
  <si>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</si>
  <si>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</si>
  <si>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</si>
  <si>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</si>
  <si>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</si>
  <si>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</si>
  <si>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</si>
  <si>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</si>
  <si>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</si>
  <si>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</si>
  <si>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</si>
  <si>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</si>
  <si>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</si>
  <si>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</si>
  <si>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</si>
  <si>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</si>
  <si>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</si>
  <si>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</si>
  <si>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</si>
  <si>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</si>
  <si>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</si>
  <si>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</si>
  <si>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</si>
  <si>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</si>
  <si>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</si>
  <si>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</si>
  <si>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</si>
  <si>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</si>
  <si>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</si>
  <si>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</si>
  <si>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</si>
  <si>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</si>
  <si>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</si>
  <si>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</si>
  <si>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</si>
  <si>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</si>
  <si>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</si>
  <si>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</si>
  <si>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</si>
  <si>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</si>
  <si>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</si>
  <si>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</si>
  <si>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</si>
  <si>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</si>
  <si>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</si>
  <si>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</si>
  <si>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</si>
  <si>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</si>
  <si>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</si>
  <si>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</si>
  <si>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</si>
  <si>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</si>
  <si>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</si>
  <si>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</si>
  <si>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</si>
  <si>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</si>
  <si>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</si>
  <si>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</si>
  <si>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</si>
  <si>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</si>
  <si>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</si>
  <si>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</si>
  <si>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</si>
  <si>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</si>
  <si>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</si>
  <si>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</si>
  <si>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</si>
  <si>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</si>
  <si>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</si>
  <si>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</si>
  <si>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</si>
  <si>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</si>
  <si>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</si>
  <si>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</si>
  <si>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</si>
  <si>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</si>
  <si>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</si>
  <si>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</si>
  <si>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</si>
  <si>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</si>
  <si>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</si>
  <si>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</si>
  <si>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</si>
  <si>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</si>
  <si>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</si>
  <si>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</si>
  <si>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</si>
  <si>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</si>
  <si>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</si>
  <si>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</si>
  <si>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</si>
  <si>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</si>
  <si>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</si>
  <si>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</si>
  <si>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</si>
  <si>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</si>
  <si>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</si>
  <si>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</si>
  <si>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</si>
  <si>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</si>
  <si>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</si>
  <si>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</si>
  <si>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</si>
  <si>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</si>
  <si>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</si>
  <si>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</si>
  <si>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</si>
  <si>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</si>
  <si>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</si>
  <si>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</si>
  <si>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</si>
  <si>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</si>
  <si>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</si>
  <si>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</si>
  <si>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</si>
  <si>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</si>
  <si>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</si>
  <si>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</si>
  <si>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</si>
  <si>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</si>
  <si>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</si>
  <si>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</si>
  <si>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</si>
  <si>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</si>
  <si>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</si>
  <si>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</si>
  <si>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</si>
  <si>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</si>
  <si>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</si>
  <si>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</si>
  <si>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</si>
  <si>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</si>
  <si>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</si>
  <si>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</si>
  <si>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</si>
  <si>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</si>
  <si>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</si>
  <si>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</si>
  <si>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</si>
  <si>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</si>
  <si>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</si>
  <si>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</si>
  <si>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</si>
  <si>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</si>
  <si>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</si>
  <si>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</si>
  <si>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</si>
  <si>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</si>
  <si>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</si>
  <si>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</si>
  <si>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</si>
  <si>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</si>
  <si>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</si>
  <si>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</si>
  <si>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</si>
  <si>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</si>
  <si>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</si>
  <si>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</si>
  <si>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</si>
  <si>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</si>
  <si>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</si>
  <si>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</si>
  <si>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</si>
  <si>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</si>
  <si>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</si>
  <si>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</si>
  <si>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</si>
  <si>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</si>
  <si>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</si>
  <si>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</si>
  <si>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</si>
  <si>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</si>
  <si>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</si>
  <si>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</si>
  <si>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</si>
  <si>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</si>
  <si>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</si>
  <si>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</si>
  <si>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</si>
  <si>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</si>
  <si>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</si>
  <si>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</si>
  <si>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</si>
  <si>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</si>
  <si>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</si>
  <si>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</si>
  <si>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</si>
  <si>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</si>
  <si>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</si>
  <si>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</si>
  <si>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</si>
  <si>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</si>
  <si>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</si>
  <si>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</si>
  <si>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</si>
  <si>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</si>
  <si>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</si>
  <si>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</si>
  <si>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</si>
  <si>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</si>
  <si>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</si>
  <si>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</si>
  <si>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</si>
  <si>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</si>
  <si>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</si>
  <si>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</si>
  <si>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</si>
  <si>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</si>
  <si>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</si>
  <si>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</si>
  <si>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</si>
  <si>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</si>
  <si>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</si>
  <si>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</si>
  <si>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</si>
  <si>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</si>
  <si>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</si>
  <si>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</si>
  <si>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</si>
  <si>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</si>
  <si>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</si>
  <si>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</si>
  <si>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</si>
  <si>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</si>
  <si>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</si>
  <si>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</si>
  <si>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</si>
  <si>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</si>
  <si>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</si>
  <si>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</si>
  <si>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</si>
  <si>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</si>
  <si>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</si>
  <si>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</si>
  <si>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</si>
  <si>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</si>
  <si>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</si>
  <si>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</si>
  <si>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</si>
  <si>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</si>
  <si>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</si>
  <si>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</si>
  <si>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</si>
  <si>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</si>
  <si>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</si>
  <si>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</si>
  <si>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</si>
  <si>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</si>
  <si>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</si>
  <si>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</si>
  <si>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</si>
  <si>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</si>
  <si>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</si>
  <si>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</si>
  <si>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</si>
  <si>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</si>
  <si>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</si>
  <si>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</si>
  <si>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</si>
  <si>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</si>
  <si>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</si>
  <si>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</si>
  <si>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</si>
  <si>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</si>
  <si>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</si>
  <si>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</si>
  <si>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</si>
  <si>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</si>
  <si>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</si>
  <si>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</si>
  <si>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</si>
  <si>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</si>
  <si>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</si>
  <si>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</si>
  <si>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</si>
  <si>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</si>
  <si>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</si>
  <si>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</si>
  <si>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</si>
  <si>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</si>
  <si>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</si>
  <si>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</si>
  <si>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</si>
  <si>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</si>
  <si>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</si>
  <si>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</si>
  <si>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</si>
  <si>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</si>
  <si>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</si>
  <si>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</si>
  <si>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</si>
  <si>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</si>
  <si>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</si>
  <si>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</si>
  <si>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</si>
  <si>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</si>
  <si>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</si>
  <si>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</si>
  <si>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</si>
  <si>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</si>
  <si>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</si>
  <si>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</si>
  <si>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</si>
  <si>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</si>
  <si>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</si>
  <si>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</si>
  <si>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</si>
  <si>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</si>
  <si>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</si>
  <si>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</si>
  <si>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</si>
  <si>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</si>
  <si>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</si>
  <si>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</si>
  <si>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</si>
  <si>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</si>
  <si>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</si>
  <si>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</si>
  <si>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</si>
  <si>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</si>
  <si>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</si>
  <si>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</si>
  <si>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</si>
  <si>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</si>
  <si>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</si>
  <si>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</si>
  <si>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</si>
  <si>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</si>
  <si>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</si>
  <si>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</si>
  <si>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</si>
  <si>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</si>
  <si>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</si>
  <si>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</si>
  <si>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</si>
  <si>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</si>
  <si>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</si>
  <si>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</si>
  <si>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</si>
  <si>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</si>
  <si>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</si>
  <si>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</si>
  <si>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</si>
  <si>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</si>
  <si>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</si>
  <si>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</si>
  <si>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</si>
  <si>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</si>
  <si>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</si>
  <si>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</si>
  <si>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</si>
  <si>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</si>
  <si>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</si>
  <si>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</si>
  <si>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</si>
  <si>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</si>
  <si>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</si>
  <si>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</si>
  <si>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</si>
  <si>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</si>
  <si>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</si>
  <si>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</si>
  <si>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</si>
  <si>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</si>
  <si>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</si>
  <si>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</si>
  <si>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</si>
  <si>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</si>
  <si>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</si>
  <si>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</si>
  <si>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</si>
  <si>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</si>
  <si>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</si>
  <si>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</si>
  <si>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</si>
  <si>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</si>
  <si>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</si>
  <si>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</si>
  <si>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</si>
  <si>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</si>
  <si>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</si>
  <si>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</si>
  <si>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</si>
  <si>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</si>
  <si>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</si>
  <si>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</si>
  <si>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</si>
  <si>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</si>
  <si>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</si>
  <si>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</si>
  <si>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</si>
  <si>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</si>
  <si>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</si>
  <si>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</si>
  <si>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</si>
  <si>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</si>
  <si>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</si>
  <si>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</si>
  <si>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</si>
  <si>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</si>
  <si>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</si>
  <si>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</si>
  <si>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</si>
  <si>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</si>
  <si>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</si>
  <si>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</si>
  <si>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</si>
  <si>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</si>
  <si>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</si>
  <si>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</si>
  <si>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</si>
  <si>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</si>
  <si>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</si>
  <si>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</si>
  <si>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</si>
  <si>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</si>
  <si>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</si>
  <si>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</si>
  <si>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</si>
  <si>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</si>
  <si>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</si>
  <si>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</si>
  <si>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</si>
  <si>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</si>
  <si>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</si>
  <si>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</si>
  <si>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</si>
  <si>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</si>
  <si>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</si>
  <si>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</si>
  <si>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</si>
  <si>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</si>
  <si>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</si>
  <si>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</si>
  <si>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</si>
  <si>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</si>
  <si>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</si>
  <si>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</si>
  <si>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</si>
  <si>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</si>
  <si>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</si>
  <si>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</si>
  <si>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</si>
  <si>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</si>
  <si>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</si>
  <si>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</si>
  <si>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</si>
  <si>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</si>
  <si>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</si>
  <si>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</si>
  <si>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</si>
  <si>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</si>
  <si>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</si>
  <si>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</si>
  <si>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</si>
  <si>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</si>
  <si>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</si>
  <si>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</si>
  <si>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</si>
  <si>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</si>
  <si>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</si>
  <si>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</si>
  <si>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</si>
  <si>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</si>
  <si>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</si>
  <si>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</si>
  <si>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</si>
  <si>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</si>
  <si>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</si>
  <si>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</si>
  <si>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</si>
  <si>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</si>
  <si>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</si>
  <si>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</si>
  <si>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</si>
  <si>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</si>
  <si>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</si>
  <si>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</si>
  <si>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</si>
  <si>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</si>
  <si>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</si>
  <si>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</si>
  <si>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</si>
  <si>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</si>
  <si>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</si>
  <si>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</si>
  <si>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</si>
  <si>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</si>
  <si>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</si>
  <si>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</si>
  <si>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</si>
  <si>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</si>
  <si>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</si>
  <si>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</si>
  <si>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</si>
  <si>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</si>
  <si>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</si>
  <si>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</si>
  <si>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</si>
  <si>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</si>
  <si>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</si>
  <si>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</si>
  <si>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</si>
  <si>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</si>
  <si>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</si>
  <si>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</si>
  <si>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</si>
  <si>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</si>
  <si>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</si>
  <si>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</si>
  <si>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</si>
  <si>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</si>
  <si>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</si>
  <si>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</si>
  <si>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</si>
  <si>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</si>
  <si>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</si>
  <si>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</si>
  <si>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</si>
  <si>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</si>
  <si>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</si>
  <si>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</si>
  <si>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</si>
  <si>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</si>
  <si>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</si>
  <si>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</si>
  <si>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</si>
  <si>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</si>
  <si>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</si>
  <si>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</si>
  <si>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</si>
  <si>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</si>
  <si>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</si>
  <si>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</si>
  <si>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</si>
  <si>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</si>
  <si>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</si>
  <si>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</si>
  <si>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</si>
  <si>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</si>
  <si>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</si>
  <si>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</si>
  <si>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</si>
  <si>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</si>
  <si>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</si>
  <si>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</si>
  <si>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</si>
  <si>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</si>
  <si>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</si>
  <si>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</si>
  <si>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</si>
  <si>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</si>
  <si>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</si>
  <si>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</si>
  <si>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</si>
  <si>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</si>
  <si>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</si>
  <si>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</si>
  <si>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</si>
  <si>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</si>
  <si>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</si>
  <si>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</si>
  <si>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</si>
  <si>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</si>
  <si>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</si>
  <si>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</si>
  <si>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</si>
  <si>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</si>
  <si>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</si>
  <si>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</si>
  <si>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</si>
  <si>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</si>
  <si>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</si>
  <si>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</si>
  <si>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</si>
  <si>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</si>
  <si>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</si>
  <si>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</si>
  <si>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</si>
  <si>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</si>
  <si>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</si>
  <si>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</si>
  <si>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</si>
  <si>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</si>
  <si>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</si>
  <si>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</si>
  <si>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</si>
  <si>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</si>
  <si>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</si>
  <si>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</si>
  <si>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</si>
  <si>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</si>
  <si>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</si>
  <si>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</si>
  <si>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</si>
  <si>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</si>
  <si>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</si>
  <si>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</si>
  <si>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</si>
  <si>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</si>
  <si>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</si>
  <si>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</si>
  <si>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</si>
  <si>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</si>
  <si>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</si>
  <si>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</si>
  <si>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</si>
  <si>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</si>
  <si>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</si>
  <si>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</si>
  <si>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</si>
  <si>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</si>
  <si>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</si>
  <si>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</si>
  <si>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</si>
  <si>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</si>
  <si>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</si>
  <si>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</si>
  <si>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</si>
  <si>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</si>
  <si>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</si>
  <si>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</si>
  <si>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</si>
  <si>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</si>
  <si>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</si>
  <si>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</si>
  <si>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</si>
  <si>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</si>
  <si>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</si>
  <si>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</si>
  <si>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</si>
  <si>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</si>
  <si>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</si>
  <si>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</si>
  <si>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</si>
  <si>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</si>
  <si>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</si>
  <si>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</si>
  <si>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</si>
  <si>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</si>
  <si>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</si>
  <si>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</si>
  <si>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</si>
  <si>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</si>
  <si>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</si>
  <si>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</si>
  <si>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</si>
  <si>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</si>
  <si>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</si>
  <si>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</si>
  <si>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</si>
  <si>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</si>
  <si>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</si>
  <si>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</si>
  <si>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</si>
  <si>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</si>
  <si>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</si>
  <si>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</si>
  <si>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</si>
  <si>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</si>
  <si>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</si>
  <si>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</si>
  <si>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</si>
  <si>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</si>
  <si>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</si>
  <si>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</si>
  <si>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</si>
  <si>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</si>
  <si>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</si>
  <si>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</si>
  <si>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</si>
  <si>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</si>
  <si>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</si>
  <si>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</si>
  <si>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</si>
  <si>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</si>
  <si>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</si>
  <si>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</si>
  <si>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</si>
  <si>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</si>
  <si>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</si>
  <si>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</si>
  <si>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</si>
  <si>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</si>
  <si>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</si>
  <si>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</si>
  <si>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</si>
  <si>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</si>
  <si>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</si>
  <si>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</si>
  <si>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</si>
  <si>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</si>
  <si>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</si>
  <si>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</si>
  <si>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</si>
  <si>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</si>
  <si>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</si>
  <si>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</si>
  <si>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</si>
  <si>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</si>
  <si>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</si>
  <si>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</si>
  <si>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</si>
  <si>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</si>
  <si>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</si>
  <si>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</si>
  <si>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</si>
  <si>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</si>
  <si>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</si>
  <si>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</si>
  <si>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</si>
  <si>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</si>
  <si>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</si>
  <si>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</si>
  <si>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</si>
  <si>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</si>
  <si>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</si>
  <si>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</si>
  <si>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</si>
  <si>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</si>
  <si>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</si>
  <si>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</si>
  <si>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</si>
  <si>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</si>
  <si>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</si>
  <si>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</si>
  <si>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</si>
  <si>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</si>
  <si>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</si>
  <si>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</si>
  <si>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</si>
  <si>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</si>
  <si>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</si>
  <si>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</si>
  <si>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</si>
  <si>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</si>
  <si>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</si>
  <si>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</si>
  <si>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</si>
  <si>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</si>
  <si>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</si>
  <si>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</si>
  <si>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</si>
  <si>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</si>
  <si>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</si>
  <si>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</si>
  <si>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</si>
  <si>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</si>
  <si>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</si>
  <si>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</si>
  <si>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</si>
  <si>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</si>
  <si>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</si>
  <si>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</si>
  <si>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</si>
  <si>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</si>
  <si>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</si>
  <si>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</si>
  <si>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</si>
  <si>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</si>
  <si>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</si>
  <si>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</si>
  <si>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</si>
  <si>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</si>
  <si>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</si>
  <si>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</si>
  <si>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</si>
  <si>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</si>
  <si>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</si>
  <si>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</si>
  <si>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</si>
  <si>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</si>
  <si>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</si>
  <si>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</si>
  <si>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</si>
  <si>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</si>
  <si>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</si>
  <si>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</si>
  <si>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</si>
  <si>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</si>
  <si>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</si>
  <si>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</si>
  <si>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</si>
  <si>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</si>
  <si>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</si>
  <si>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</si>
  <si>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</si>
  <si>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</si>
  <si>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</si>
  <si>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</si>
  <si>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</si>
  <si>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</si>
  <si>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</si>
  <si>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</si>
  <si>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</si>
  <si>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</si>
  <si>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</si>
  <si>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</si>
  <si>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</si>
  <si>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</si>
  <si>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</si>
  <si>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</si>
  <si>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</si>
  <si>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</si>
  <si>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</si>
  <si>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</si>
  <si>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</si>
  <si>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</si>
  <si>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</si>
  <si>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</si>
  <si>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</si>
  <si>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</si>
  <si>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</si>
  <si>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</si>
  <si>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</si>
  <si>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</si>
  <si>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</si>
  <si>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</si>
  <si>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</si>
  <si>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</si>
  <si>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</si>
  <si>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</si>
  <si>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</si>
  <si>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</si>
  <si>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</si>
  <si>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</si>
  <si>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</si>
  <si>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</si>
  <si>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</si>
  <si>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</si>
  <si>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</si>
  <si>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</si>
  <si>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</si>
  <si>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</si>
  <si>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</si>
  <si>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</si>
  <si>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</si>
  <si>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</si>
  <si>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</si>
  <si>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</si>
  <si>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</si>
  <si>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</si>
  <si>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</si>
  <si>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</si>
  <si>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</si>
  <si>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</si>
  <si>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</si>
  <si>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</si>
  <si>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</si>
  <si>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</si>
  <si>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</si>
  <si>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</si>
  <si>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</si>
  <si>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</si>
  <si>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</si>
  <si>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</si>
  <si>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</si>
  <si>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</si>
  <si>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</si>
  <si>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</si>
  <si>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</si>
  <si>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</si>
  <si>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</si>
  <si>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</si>
  <si>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</si>
  <si>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</si>
  <si>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</si>
  <si>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</si>
  <si>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</si>
  <si>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</si>
  <si>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</si>
  <si>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</si>
  <si>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</si>
  <si>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</si>
  <si>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</si>
  <si>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</si>
  <si>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</si>
  <si>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</si>
  <si>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</si>
  <si>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</si>
  <si>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</si>
  <si>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</si>
  <si>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</si>
  <si>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</si>
  <si>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</si>
  <si>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</si>
  <si>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</si>
  <si>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</si>
  <si>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</si>
  <si>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</si>
  <si>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</si>
  <si>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</si>
  <si>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</si>
  <si>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</si>
  <si>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</si>
  <si>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</si>
  <si>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</si>
  <si>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</si>
  <si>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</si>
  <si>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</si>
  <si>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</si>
  <si>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</si>
  <si>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</si>
  <si>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</si>
  <si>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</si>
  <si>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</si>
  <si>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</si>
  <si>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</si>
  <si>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</si>
  <si>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</si>
  <si>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</si>
  <si>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</si>
  <si>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</si>
  <si>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</si>
  <si>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</si>
  <si>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</si>
  <si>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</si>
  <si>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</si>
  <si>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</si>
  <si>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</si>
  <si>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</si>
  <si>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</si>
  <si>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</si>
  <si>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</si>
  <si>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</si>
  <si>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</si>
  <si>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</si>
  <si>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</si>
  <si>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</si>
  <si>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</si>
  <si>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</si>
  <si>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</si>
  <si>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</si>
  <si>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</si>
  <si>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</si>
  <si>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</si>
  <si>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</si>
  <si>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</si>
  <si>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</si>
  <si>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</si>
  <si>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</si>
  <si>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</si>
  <si>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</si>
  <si>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</si>
  <si>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</si>
  <si>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</si>
  <si>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</si>
  <si>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</si>
  <si>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</si>
  <si>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</si>
  <si>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</si>
  <si>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</si>
  <si>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</si>
  <si>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</si>
  <si>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</si>
  <si>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</si>
  <si>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</si>
  <si>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</si>
  <si>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</si>
  <si>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</si>
  <si>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</si>
  <si>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</si>
  <si>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</si>
  <si>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</si>
  <si>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</si>
  <si>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</si>
  <si>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</si>
  <si>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</si>
  <si>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</si>
  <si>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</si>
  <si>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</si>
  <si>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</si>
  <si>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</si>
  <si>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</si>
  <si>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</si>
  <si>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</si>
  <si>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</si>
  <si>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</si>
  <si>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</si>
  <si>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</si>
  <si>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</si>
  <si>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</si>
  <si>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</si>
  <si>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</si>
  <si>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</si>
  <si>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</si>
  <si>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</si>
  <si>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</si>
  <si>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</si>
  <si>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</si>
  <si>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</si>
  <si>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</si>
  <si>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</si>
  <si>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</si>
  <si>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</si>
  <si>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</si>
  <si>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</si>
  <si>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</si>
  <si>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</si>
  <si>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</si>
  <si>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</si>
  <si>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</si>
  <si>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</si>
  <si>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</si>
  <si>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</si>
  <si>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</si>
  <si>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</si>
  <si>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</si>
  <si>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</si>
  <si>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</si>
  <si>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</si>
  <si>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</si>
  <si>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</si>
  <si>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</si>
  <si>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</si>
  <si>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</si>
  <si>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</si>
  <si>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</si>
  <si>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</si>
  <si>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</si>
  <si>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</si>
  <si>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</si>
  <si>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</si>
  <si>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</si>
  <si>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</si>
  <si>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</si>
  <si>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</si>
  <si>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</si>
  <si>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</si>
  <si>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</si>
  <si>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</si>
  <si>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</si>
  <si>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</si>
  <si>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</si>
  <si>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</si>
  <si>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</si>
  <si>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</si>
  <si>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</si>
  <si>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</si>
  <si>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</si>
  <si>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</si>
  <si>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</si>
  <si>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</si>
  <si>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</si>
  <si>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</si>
  <si>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</si>
  <si>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</si>
  <si>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</si>
  <si>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</si>
  <si>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</si>
  <si>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</si>
  <si>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</si>
  <si>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</si>
  <si>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</si>
  <si>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</si>
  <si>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</si>
  <si>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</si>
  <si>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</si>
  <si>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</si>
  <si>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</si>
  <si>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</si>
  <si>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</si>
  <si>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</si>
  <si>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</si>
  <si>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</si>
  <si>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</si>
  <si>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</si>
  <si>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</si>
  <si>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</si>
  <si>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</si>
  <si>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</si>
  <si>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</si>
  <si>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</si>
  <si>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</si>
  <si>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</si>
  <si>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</si>
  <si>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</si>
  <si>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</si>
  <si>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</si>
  <si>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</si>
  <si>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</si>
  <si>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</si>
  <si>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</si>
  <si>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</si>
  <si>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</si>
  <si>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</si>
  <si>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</si>
  <si>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</si>
  <si>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</si>
  <si>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</si>
  <si>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</si>
  <si>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</si>
  <si>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</si>
  <si>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</si>
  <si>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</si>
  <si>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</si>
  <si>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</si>
  <si>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</si>
  <si>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</si>
  <si>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</si>
  <si>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</si>
  <si>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</si>
  <si>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</si>
  <si>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</si>
  <si>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</si>
  <si>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</si>
  <si>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</si>
  <si>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</si>
  <si>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</si>
  <si>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</si>
  <si>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</si>
  <si>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</si>
  <si>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</si>
  <si>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</si>
  <si>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</si>
  <si>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</si>
  <si>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</si>
  <si>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</si>
  <si>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</si>
  <si>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</si>
  <si>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</si>
  <si>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</si>
  <si>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</si>
  <si>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</si>
  <si>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</si>
  <si>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</si>
  <si>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</si>
  <si>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</si>
  <si>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</si>
  <si>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</si>
  <si>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</si>
  <si>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</si>
  <si>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</si>
  <si>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</si>
  <si>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</si>
  <si>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</si>
  <si>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</si>
  <si>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</si>
  <si>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</si>
  <si>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</si>
  <si>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</si>
  <si>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</si>
  <si>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</si>
  <si>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</si>
  <si>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</si>
  <si>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</si>
  <si>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</si>
  <si>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</si>
  <si>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</si>
  <si>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</si>
  <si>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</si>
  <si>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</si>
  <si>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</si>
  <si>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</si>
  <si>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</si>
  <si>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</si>
  <si>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</si>
  <si>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</si>
  <si>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</si>
  <si>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</si>
  <si>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</si>
  <si>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</si>
  <si>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</si>
  <si>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</si>
  <si>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</si>
  <si>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</si>
  <si>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</si>
  <si>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</si>
  <si>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</si>
  <si>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</si>
  <si>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</si>
  <si>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</si>
  <si>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</si>
  <si>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</si>
  <si>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</si>
  <si>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</si>
  <si>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</si>
  <si>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</si>
  <si>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</si>
  <si>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</si>
  <si>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</si>
  <si>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</si>
  <si>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</si>
  <si>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</si>
  <si>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</si>
  <si>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</si>
  <si>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</si>
  <si>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</si>
  <si>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</si>
  <si>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</si>
  <si>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</si>
  <si>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</si>
  <si>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</si>
  <si>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</si>
  <si>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</si>
  <si>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</si>
  <si>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</si>
  <si>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</si>
  <si>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</si>
  <si>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</si>
  <si>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</si>
  <si>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</si>
  <si>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</si>
  <si>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</si>
  <si>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</si>
  <si>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</si>
  <si>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</si>
  <si>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</si>
  <si>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</si>
  <si>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</si>
  <si>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</si>
  <si>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</si>
  <si>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</si>
  <si>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</si>
  <si>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</si>
  <si>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</si>
  <si>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</si>
  <si>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</si>
  <si>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</si>
  <si>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</si>
  <si>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</si>
  <si>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</si>
  <si>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</si>
  <si>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</si>
  <si>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</si>
  <si>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</si>
  <si>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</si>
  <si>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</si>
  <si>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</si>
  <si>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</si>
  <si>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</si>
  <si>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</si>
  <si>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</si>
  <si>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</si>
  <si>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</si>
  <si>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</si>
  <si>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</si>
  <si>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</si>
  <si>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</si>
  <si>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</si>
  <si>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</si>
  <si>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</si>
  <si>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</si>
  <si>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</si>
  <si>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</si>
  <si>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</si>
  <si>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</si>
  <si>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</si>
  <si>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</si>
  <si>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</si>
  <si>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</si>
  <si>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</si>
  <si>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</si>
  <si>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</si>
  <si>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</si>
  <si>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</si>
  <si>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</si>
  <si>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</si>
  <si>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</si>
  <si>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</si>
  <si>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</si>
  <si>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</si>
  <si>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</si>
  <si>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</si>
  <si>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</si>
  <si>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</si>
  <si>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</si>
  <si>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</si>
  <si>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</si>
  <si>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</si>
  <si>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</si>
  <si>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</si>
  <si>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</si>
  <si>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</si>
  <si>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</si>
  <si>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</si>
  <si>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</si>
  <si>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</si>
  <si>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</si>
  <si>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</si>
  <si>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</si>
  <si>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</si>
  <si>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</si>
  <si>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</si>
  <si>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</si>
  <si>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</si>
  <si>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</si>
  <si>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</si>
  <si>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</si>
  <si>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</si>
  <si>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</si>
  <si>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</si>
  <si>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</si>
  <si>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</si>
  <si>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</si>
  <si>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</si>
  <si>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</si>
  <si>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</si>
  <si>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</si>
  <si>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</si>
  <si>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</si>
  <si>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</si>
  <si>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</si>
  <si>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</si>
  <si>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</si>
  <si>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</si>
  <si>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</si>
  <si>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</si>
  <si>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</si>
  <si>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</si>
  <si>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</si>
  <si>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</si>
  <si>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</si>
  <si>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</si>
  <si>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</si>
  <si>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</si>
  <si>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</si>
  <si>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</si>
  <si>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</si>
  <si>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</si>
  <si>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</si>
  <si>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</si>
  <si>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</si>
  <si>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</si>
  <si>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</si>
  <si>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</si>
  <si>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</si>
  <si>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</si>
  <si>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</si>
  <si>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</si>
  <si>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</si>
  <si>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</si>
  <si>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</si>
  <si>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</si>
  <si>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</si>
  <si>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</si>
  <si>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</si>
  <si>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</si>
  <si>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</si>
  <si>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</si>
  <si>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</si>
  <si>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</si>
  <si>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</si>
  <si>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</si>
  <si>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</si>
  <si>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</si>
  <si>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</si>
  <si>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</si>
  <si>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</si>
  <si>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</si>
  <si>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</si>
  <si>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</si>
  <si>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</si>
  <si>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</si>
  <si>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</si>
  <si>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</si>
  <si>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</si>
  <si>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</si>
  <si>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</si>
  <si>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</si>
  <si>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</si>
  <si>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</si>
  <si>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</si>
  <si>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</si>
  <si>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</si>
  <si>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</si>
  <si>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</si>
  <si>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</si>
  <si>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</si>
  <si>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</si>
  <si>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</si>
  <si>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</si>
  <si>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</si>
  <si>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</si>
  <si>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</si>
  <si>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</si>
  <si>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</si>
  <si>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</si>
  <si>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</si>
  <si>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</si>
  <si>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</si>
  <si>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</si>
  <si>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</si>
  <si>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</si>
  <si>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</si>
  <si>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</si>
  <si>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</si>
  <si>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</si>
  <si>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</si>
  <si>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</si>
  <si>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</si>
  <si>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</si>
  <si>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</si>
  <si>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</si>
  <si>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</si>
  <si>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</si>
  <si>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</si>
  <si>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</si>
  <si>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</si>
  <si>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</si>
  <si>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</si>
  <si>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</si>
  <si>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</si>
  <si>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</si>
  <si>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</si>
  <si>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</si>
  <si>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</si>
  <si>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</si>
  <si>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</si>
  <si>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</si>
  <si>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</si>
  <si>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</si>
  <si>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</si>
  <si>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</si>
  <si>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</si>
  <si>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</si>
  <si>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</si>
  <si>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</si>
  <si>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</si>
  <si>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</si>
  <si>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</si>
  <si>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</si>
  <si>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</si>
  <si>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</si>
  <si>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</si>
  <si>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</si>
  <si>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</si>
  <si>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</si>
  <si>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</si>
  <si>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</si>
  <si>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</si>
  <si>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</si>
  <si>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</si>
  <si>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</si>
  <si>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</si>
  <si>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</si>
  <si>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</si>
  <si>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</si>
  <si>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</si>
  <si>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</si>
  <si>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</si>
  <si>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</si>
  <si>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</si>
  <si>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</si>
  <si>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</si>
  <si>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</si>
  <si>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</si>
  <si>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</si>
  <si>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</si>
  <si>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</si>
  <si>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</si>
  <si>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</si>
  <si>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</si>
  <si>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</si>
  <si>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</si>
  <si>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</si>
  <si>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</si>
  <si>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</si>
  <si>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</si>
  <si>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</si>
  <si>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</si>
  <si>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</si>
  <si>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</si>
  <si>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</si>
  <si>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</si>
  <si>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</si>
  <si>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</si>
  <si>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</si>
  <si>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</si>
  <si>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</si>
  <si>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</si>
  <si>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</si>
  <si>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</si>
  <si>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</si>
  <si>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</si>
  <si>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</si>
  <si>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</si>
  <si>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</si>
  <si>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</si>
  <si>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</si>
  <si>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</si>
  <si>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</si>
  <si>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</si>
  <si>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</si>
  <si>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</si>
  <si>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</si>
  <si>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</si>
  <si>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</si>
  <si>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</si>
  <si>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</si>
  <si>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</si>
  <si>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</si>
  <si>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</si>
  <si>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</si>
  <si>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</si>
  <si>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</si>
  <si>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</si>
  <si>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</si>
  <si>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</si>
  <si>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</si>
  <si>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</si>
  <si>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</si>
  <si>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</si>
  <si>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</si>
  <si>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</si>
  <si>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</si>
  <si>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</si>
  <si>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</si>
  <si>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</si>
  <si>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</si>
  <si>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</si>
  <si>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</si>
  <si>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</si>
  <si>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</si>
  <si>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</si>
  <si>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</si>
  <si>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</si>
  <si>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</si>
  <si>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</si>
  <si>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</si>
  <si>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</si>
  <si>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</si>
  <si>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</si>
  <si>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</si>
  <si>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</si>
  <si>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</si>
  <si>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</si>
  <si>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</si>
  <si>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</si>
  <si>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</si>
  <si>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</si>
  <si>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</si>
  <si>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</si>
  <si>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</si>
  <si>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</si>
  <si>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</si>
  <si>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</si>
  <si>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</si>
  <si>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</si>
  <si>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</si>
  <si>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</si>
  <si>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</si>
  <si>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</si>
  <si>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</si>
  <si>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</si>
  <si>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</si>
  <si>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</si>
  <si>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</si>
  <si>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</si>
  <si>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</si>
  <si>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</si>
  <si>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</si>
  <si>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</si>
  <si>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</si>
  <si>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</si>
  <si>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</si>
  <si>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</si>
  <si>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</si>
  <si>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</si>
  <si>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</si>
  <si>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</si>
  <si>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</si>
  <si>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</si>
  <si>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</si>
  <si>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</si>
  <si>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</si>
  <si>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</si>
  <si>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</si>
  <si>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</si>
  <si>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</si>
  <si>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</si>
  <si>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</si>
  <si>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</si>
  <si>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</si>
  <si>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</si>
  <si>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</si>
  <si>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</si>
  <si>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</si>
  <si>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</si>
  <si>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</si>
  <si>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</si>
  <si>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</si>
  <si>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</si>
  <si>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</si>
  <si>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</si>
  <si>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</si>
  <si>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</si>
  <si>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</si>
  <si>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</si>
  <si>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</si>
  <si>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</si>
  <si>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</si>
  <si>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</si>
  <si>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</si>
  <si>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</si>
  <si>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</si>
  <si>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</si>
  <si>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</si>
  <si>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</si>
  <si>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</si>
  <si>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</si>
  <si>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</si>
  <si>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</si>
  <si>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</si>
  <si>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</si>
  <si>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</si>
  <si>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</si>
  <si>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</si>
  <si>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</si>
  <si>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</si>
  <si>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</si>
  <si>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</si>
  <si>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</si>
  <si>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</si>
  <si>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</si>
  <si>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</si>
  <si>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</si>
  <si>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</si>
  <si>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</si>
  <si>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</si>
  <si>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</si>
  <si>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</si>
  <si>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</si>
  <si>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</si>
  <si>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</si>
  <si>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</si>
  <si>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</si>
  <si>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</si>
  <si>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</si>
  <si>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</si>
  <si>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</si>
  <si>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</si>
  <si>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</si>
  <si>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</si>
  <si>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</si>
  <si>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</si>
  <si>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</si>
  <si>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</si>
  <si>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</si>
  <si>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</si>
  <si>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</si>
  <si>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</si>
  <si>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</si>
  <si>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</si>
  <si>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</si>
  <si>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</si>
  <si>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</si>
  <si>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</si>
  <si>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</si>
  <si>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</si>
  <si>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</si>
  <si>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</si>
  <si>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</si>
  <si>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</si>
  <si>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</si>
  <si>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</si>
  <si>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</si>
  <si>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</si>
  <si>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</si>
  <si>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</si>
  <si>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</si>
  <si>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</si>
  <si>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</si>
  <si>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</si>
  <si>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</si>
  <si>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</si>
  <si>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</si>
  <si>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</si>
  <si>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</si>
  <si>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</si>
  <si>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</si>
  <si>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</si>
  <si>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</si>
  <si>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</si>
  <si>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</si>
  <si>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</si>
  <si>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</si>
  <si>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</si>
  <si>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</si>
  <si>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</si>
  <si>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</si>
  <si>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</si>
  <si>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</si>
  <si>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</si>
  <si>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</si>
  <si>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</si>
  <si>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</si>
  <si>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</si>
  <si>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</si>
  <si>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</si>
  <si>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</si>
  <si>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</si>
  <si>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</si>
  <si>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</si>
  <si>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</si>
  <si>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</si>
  <si>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</si>
  <si>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</si>
  <si>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</si>
  <si>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</si>
  <si>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</si>
  <si>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</si>
  <si>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</si>
  <si>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</si>
  <si>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</si>
  <si>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</si>
  <si>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</si>
  <si>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</si>
  <si>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</si>
  <si>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</si>
  <si>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</si>
  <si>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</si>
  <si>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</si>
  <si>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</si>
  <si>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</si>
  <si>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</si>
  <si>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</si>
  <si>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</si>
  <si>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</si>
  <si>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</si>
  <si>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</si>
  <si>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</si>
  <si>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</si>
  <si>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</si>
  <si>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</si>
  <si>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</si>
  <si>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</si>
  <si>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</si>
  <si>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</si>
  <si>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</si>
  <si>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</si>
  <si>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</si>
  <si>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</si>
  <si>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</si>
  <si>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</si>
  <si>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</si>
  <si>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</si>
  <si>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</si>
  <si>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</si>
  <si>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</si>
  <si>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</si>
  <si>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</si>
  <si>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</si>
  <si>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</si>
  <si>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</si>
  <si>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</si>
  <si>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</si>
  <si>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</si>
  <si>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</si>
  <si>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</si>
  <si>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</si>
  <si>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</si>
  <si>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</si>
  <si>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</si>
  <si>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</si>
  <si>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</si>
  <si>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</si>
  <si>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</si>
  <si>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</si>
  <si>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</si>
  <si>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</si>
  <si>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</si>
  <si>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</si>
  <si>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</si>
  <si>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</si>
  <si>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</si>
  <si>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</si>
  <si>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</si>
  <si>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</si>
  <si>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</si>
  <si>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</si>
  <si>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</si>
  <si>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</si>
  <si>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</si>
  <si>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</si>
  <si>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</si>
  <si>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</si>
  <si>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</si>
  <si>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</si>
  <si>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</si>
  <si>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</si>
  <si>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</si>
  <si>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</si>
  <si>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</si>
  <si>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</si>
  <si>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</si>
  <si>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</si>
  <si>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</si>
  <si>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</si>
  <si>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</si>
  <si>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</si>
  <si>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</si>
  <si>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</si>
  <si>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</si>
  <si>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</si>
  <si>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</si>
  <si>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</si>
  <si>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</si>
  <si>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</si>
  <si>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</si>
  <si>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</si>
  <si>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</si>
  <si>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</si>
  <si>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</si>
  <si>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</si>
  <si>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</si>
  <si>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</si>
  <si>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</si>
  <si>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</si>
  <si>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</si>
  <si>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</si>
  <si>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</si>
  <si>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</si>
  <si>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</si>
  <si>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</si>
  <si>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</si>
  <si>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</si>
  <si>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</si>
  <si>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</si>
  <si>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</si>
  <si>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</si>
  <si>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</si>
  <si>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</si>
  <si>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</si>
  <si>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</si>
  <si>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</si>
  <si>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</si>
  <si>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</si>
  <si>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</si>
  <si>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</si>
  <si>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</si>
  <si>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</si>
  <si>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</si>
  <si>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</si>
  <si>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</si>
  <si>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</si>
  <si>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</si>
  <si>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</si>
  <si>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</si>
  <si>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</si>
  <si>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</si>
  <si>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</si>
  <si>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</si>
  <si>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</si>
  <si>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</si>
  <si>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</si>
  <si>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</si>
  <si>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</si>
  <si>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</si>
  <si>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</si>
  <si>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</si>
  <si>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</si>
  <si>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</si>
  <si>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</si>
  <si>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</si>
  <si>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</si>
  <si>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</si>
  <si>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</si>
  <si>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</si>
  <si>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</si>
  <si>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</si>
  <si>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</si>
  <si>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</si>
  <si>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</si>
  <si>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</si>
  <si>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</si>
  <si>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</si>
  <si>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</si>
  <si>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</si>
  <si>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</si>
  <si>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</si>
  <si>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</si>
  <si>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</si>
  <si>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</si>
  <si>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</si>
  <si>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</si>
  <si>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</si>
  <si>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</si>
  <si>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</si>
  <si>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</si>
  <si>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</si>
  <si>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</si>
  <si>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</si>
  <si>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</si>
  <si>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</si>
  <si>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</si>
  <si>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</si>
  <si>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</si>
  <si>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</si>
  <si>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</si>
  <si>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</si>
  <si>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</si>
  <si>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</si>
  <si>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</si>
  <si>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</si>
  <si>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</si>
  <si>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</si>
  <si>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</si>
  <si>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</si>
  <si>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</si>
  <si>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</si>
  <si>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</si>
  <si>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</si>
  <si>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</si>
  <si>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</si>
  <si>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</si>
  <si>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</si>
  <si>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</si>
  <si>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</si>
  <si>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</si>
  <si>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</si>
  <si>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</si>
  <si>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</si>
  <si>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</si>
  <si>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</si>
  <si>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</si>
  <si>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</si>
  <si>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</si>
  <si>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</si>
  <si>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</si>
  <si>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</si>
  <si>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</si>
  <si>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</si>
  <si>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</si>
  <si>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</si>
  <si>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</si>
  <si>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</si>
  <si>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</si>
  <si>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</si>
  <si>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</si>
  <si>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</si>
  <si>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</si>
  <si>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</si>
  <si>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</si>
  <si>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</si>
  <si>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</si>
  <si>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</si>
  <si>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</si>
  <si>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</si>
  <si>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</si>
  <si>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</si>
  <si>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</si>
  <si>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</si>
  <si>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</si>
  <si>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</si>
  <si>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</si>
  <si>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</si>
  <si>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</si>
  <si>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</si>
  <si>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</si>
  <si>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</si>
  <si>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</si>
  <si>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</si>
  <si>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</si>
  <si>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</si>
  <si>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</si>
  <si>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</si>
  <si>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</si>
  <si>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</si>
  <si>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</si>
  <si>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</si>
  <si>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</si>
  <si>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</si>
  <si>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</si>
  <si>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</si>
  <si>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</si>
  <si>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</si>
  <si>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</si>
  <si>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</si>
  <si>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</si>
  <si>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</si>
  <si>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</si>
  <si>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</si>
  <si>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</si>
  <si>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</si>
  <si>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</si>
  <si>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</si>
  <si>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</si>
  <si>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</si>
  <si>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</si>
  <si>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</si>
  <si>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</si>
  <si>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</si>
  <si>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</si>
  <si>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</si>
  <si>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</si>
  <si>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</si>
  <si>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</si>
  <si>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</si>
  <si>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</si>
  <si>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</si>
  <si>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</si>
  <si>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</si>
  <si>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</si>
  <si>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</si>
  <si>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</si>
  <si>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</si>
  <si>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</si>
  <si>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</si>
  <si>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</si>
  <si>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</si>
  <si>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</si>
  <si>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</si>
  <si>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</si>
  <si>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</si>
  <si>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</si>
  <si>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</si>
  <si>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</si>
  <si>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</si>
  <si>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</si>
  <si>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</si>
  <si>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</si>
  <si>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</si>
  <si>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</si>
  <si>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</si>
  <si>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</si>
  <si>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</si>
  <si>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</si>
  <si>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</si>
  <si>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</si>
  <si>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</si>
  <si>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</si>
  <si>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</si>
  <si>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</si>
  <si>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</si>
  <si>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</si>
  <si>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</si>
  <si>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</si>
  <si>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</si>
  <si>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</si>
  <si>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</si>
  <si>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</si>
  <si>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</si>
  <si>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</si>
  <si>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</si>
  <si>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</si>
  <si>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</si>
  <si>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</si>
  <si>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</si>
  <si>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</si>
  <si>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</si>
  <si>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</si>
  <si>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</si>
  <si>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</si>
  <si>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</si>
  <si>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</si>
  <si>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</si>
  <si>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</si>
  <si>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</si>
  <si>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</si>
  <si>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</si>
  <si>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</si>
  <si>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</si>
  <si>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</si>
  <si>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</si>
  <si>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</si>
  <si>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</si>
  <si>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</si>
  <si>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</si>
  <si>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</si>
  <si>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</si>
  <si>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</si>
  <si>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</si>
  <si>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</si>
  <si>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</si>
  <si>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</si>
  <si>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</si>
  <si>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</si>
  <si>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</si>
  <si>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</si>
  <si>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</si>
  <si>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</si>
  <si>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</si>
  <si>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</si>
  <si>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</si>
  <si>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</si>
  <si>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</si>
  <si>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</si>
  <si>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</si>
  <si>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</si>
  <si>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</si>
  <si>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</si>
  <si>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</si>
  <si>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</si>
  <si>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</si>
  <si>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</si>
  <si>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</si>
  <si>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</si>
  <si>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</si>
  <si>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</si>
  <si>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</si>
  <si>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</si>
  <si>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</si>
  <si>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</si>
  <si>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</si>
  <si>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</si>
  <si>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</si>
  <si>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</si>
  <si>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</si>
  <si>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</si>
  <si>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</si>
  <si>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</si>
  <si>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</si>
  <si>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</si>
  <si>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</si>
  <si>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</si>
  <si>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</si>
  <si>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</si>
  <si>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</si>
  <si>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</si>
  <si>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</si>
  <si>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</si>
  <si>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</si>
  <si>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</si>
  <si>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</si>
  <si>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</si>
  <si>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</si>
  <si>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</si>
  <si>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</si>
  <si>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</si>
  <si>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</si>
  <si>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</si>
  <si>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</si>
  <si>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</si>
  <si>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</si>
  <si>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</si>
  <si>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</si>
  <si>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</si>
  <si>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</si>
  <si>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</si>
  <si>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</si>
  <si>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</si>
  <si>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</si>
  <si>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</si>
  <si>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</si>
  <si>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</si>
  <si>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</si>
  <si>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</si>
  <si>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</si>
  <si>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</si>
  <si>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</si>
  <si>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</si>
  <si>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</si>
  <si>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</si>
  <si>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</si>
  <si>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</si>
  <si>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</si>
  <si>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</si>
  <si>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</si>
  <si>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</si>
  <si>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</si>
  <si>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</si>
  <si>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</si>
  <si>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</si>
  <si>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</si>
  <si>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</si>
  <si>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</si>
  <si>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</si>
  <si>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</si>
  <si>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</si>
  <si>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</si>
  <si>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</si>
  <si>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</si>
  <si>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</si>
  <si>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</si>
  <si>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</si>
  <si>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</si>
  <si>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</si>
  <si>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</si>
  <si>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</si>
  <si>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</si>
  <si>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</si>
  <si>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</si>
  <si>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</si>
  <si>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</si>
  <si>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</si>
  <si>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</si>
  <si>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</si>
  <si>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</si>
  <si>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</si>
  <si>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</si>
  <si>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</si>
  <si>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</si>
  <si>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</si>
  <si>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</si>
  <si>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</si>
  <si>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</si>
  <si>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</si>
  <si>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</si>
  <si>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</si>
  <si>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</si>
  <si>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</si>
  <si>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</si>
  <si>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</si>
  <si>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</si>
  <si>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</si>
  <si>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</si>
  <si>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</si>
  <si>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</si>
  <si>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</si>
  <si>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</si>
  <si>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</si>
  <si>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</si>
  <si>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</si>
  <si>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</si>
  <si>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</si>
  <si>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</si>
  <si>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</si>
  <si>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</si>
  <si>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</si>
  <si>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</si>
  <si>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</si>
  <si>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</si>
  <si>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</si>
  <si>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</si>
  <si>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</si>
  <si>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</si>
  <si>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</si>
  <si>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</si>
  <si>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</si>
  <si>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</si>
  <si>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</si>
  <si>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</si>
  <si>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</si>
  <si>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</si>
  <si>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</si>
  <si>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</si>
  <si>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</si>
  <si>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</si>
  <si>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</si>
  <si>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</si>
  <si>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</si>
  <si>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</si>
  <si>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</si>
  <si>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</si>
  <si>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</si>
  <si>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</si>
  <si>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</si>
  <si>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</si>
  <si>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</si>
  <si>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</si>
  <si>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</si>
  <si>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</si>
  <si>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</si>
  <si>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</si>
  <si>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</si>
  <si>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</si>
  <si>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</si>
  <si>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</si>
  <si>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</si>
  <si>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</si>
  <si>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</si>
  <si>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</si>
  <si>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</si>
  <si>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</si>
  <si>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</si>
  <si>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</si>
  <si>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</si>
  <si>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</si>
  <si>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</si>
  <si>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</si>
  <si>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</si>
  <si>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</si>
  <si>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</si>
  <si>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</si>
  <si>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</si>
  <si>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</si>
  <si>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</si>
  <si>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</si>
  <si>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</si>
  <si>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</si>
  <si>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</si>
  <si>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</si>
  <si>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</si>
  <si>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</si>
  <si>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</si>
  <si>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</si>
  <si>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</si>
  <si>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</si>
  <si>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</si>
  <si>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</si>
  <si>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</si>
  <si>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</si>
  <si>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</si>
  <si>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</si>
  <si>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</si>
  <si>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</si>
  <si>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</si>
  <si>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</si>
  <si>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</si>
  <si>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</si>
  <si>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</si>
  <si>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</si>
  <si>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</si>
  <si>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</si>
  <si>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</si>
  <si>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</si>
  <si>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</si>
  <si>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</si>
  <si>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</si>
  <si>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</si>
  <si>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</si>
  <si>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</si>
  <si>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</si>
  <si>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</si>
  <si>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</si>
  <si>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</si>
  <si>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</si>
  <si>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</si>
  <si>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</si>
  <si>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</si>
  <si>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</si>
  <si>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</si>
  <si>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</si>
  <si>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</si>
  <si>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</si>
  <si>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</si>
  <si>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</si>
  <si>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</si>
  <si>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</si>
  <si>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</si>
  <si>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</si>
  <si>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</si>
  <si>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</si>
  <si>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</si>
  <si>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</si>
  <si>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</si>
  <si>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</si>
  <si>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</si>
  <si>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</si>
  <si>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</si>
  <si>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</si>
  <si>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</si>
  <si>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</si>
  <si>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</si>
  <si>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</si>
  <si>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</si>
  <si>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</si>
  <si>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</si>
  <si>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</si>
  <si>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</si>
  <si>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</si>
  <si>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</si>
  <si>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</si>
  <si>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</si>
  <si>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</si>
  <si>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</si>
  <si>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</si>
  <si>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</si>
  <si>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</si>
  <si>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</si>
  <si>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</si>
  <si>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</si>
  <si>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</si>
  <si>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</si>
  <si>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</si>
  <si>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</si>
  <si>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</si>
  <si>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</si>
  <si>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</si>
  <si>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</si>
  <si>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</si>
  <si>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</si>
  <si>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</si>
  <si>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</si>
  <si>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</si>
  <si>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</si>
  <si>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</si>
  <si>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</si>
  <si>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</si>
  <si>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</si>
  <si>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</si>
  <si>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</si>
  <si>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</si>
  <si>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</si>
  <si>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</si>
  <si>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</si>
  <si>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</si>
  <si>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</si>
  <si>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</si>
  <si>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</si>
  <si>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</si>
  <si>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</si>
  <si>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</si>
  <si>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</si>
  <si>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</si>
  <si>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</si>
  <si>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</si>
  <si>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</si>
  <si>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</si>
  <si>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</si>
  <si>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</si>
  <si>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</si>
  <si>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</si>
  <si>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</si>
  <si>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</si>
  <si>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</si>
  <si>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</si>
  <si>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</si>
  <si>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</si>
  <si>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</si>
  <si>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</si>
  <si>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</si>
  <si>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</si>
  <si>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</si>
  <si>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</si>
  <si>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</si>
  <si>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</si>
  <si>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</si>
  <si>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</si>
  <si>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</si>
  <si>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</si>
  <si>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</si>
  <si>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</si>
  <si>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</si>
  <si>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</si>
  <si>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</si>
  <si>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</si>
  <si>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</si>
  <si>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</si>
  <si>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</si>
  <si>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</si>
  <si>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</si>
  <si>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</si>
  <si>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</si>
  <si>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</si>
  <si>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</si>
  <si>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</si>
  <si>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</si>
  <si>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</si>
  <si>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</si>
  <si>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</si>
  <si>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</si>
  <si>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</si>
  <si>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</si>
  <si>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</si>
  <si>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</si>
  <si>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</si>
  <si>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</si>
  <si>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</si>
  <si>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</si>
  <si>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</si>
  <si>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</si>
  <si>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</si>
  <si>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</si>
  <si>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</si>
  <si>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</si>
  <si>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</si>
  <si>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</si>
  <si>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</si>
  <si>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</si>
  <si>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</si>
  <si>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</si>
  <si>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</si>
  <si>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</si>
  <si>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</si>
  <si>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</si>
  <si>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</si>
  <si>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</si>
  <si>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</si>
  <si>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</si>
  <si>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</si>
  <si>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</si>
  <si>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</si>
  <si>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</si>
  <si>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</si>
  <si>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</si>
  <si>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</si>
  <si>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</si>
  <si>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</si>
  <si>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</si>
  <si>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</si>
  <si>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</si>
  <si>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</si>
  <si>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</si>
  <si>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</si>
  <si>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</si>
  <si>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</si>
  <si>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</si>
  <si>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</si>
  <si>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</si>
  <si>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</si>
  <si>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</si>
  <si>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</si>
  <si>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</si>
  <si>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</si>
  <si>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</si>
  <si>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</si>
  <si>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</si>
  <si>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</si>
  <si>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</si>
  <si>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</si>
  <si>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</si>
  <si>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</si>
  <si>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</si>
  <si>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</si>
  <si>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</si>
  <si>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</si>
  <si>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</si>
  <si>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</si>
  <si>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</si>
  <si>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</si>
  <si>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</si>
  <si>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</si>
  <si>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</si>
  <si>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</si>
  <si>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</si>
  <si>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</si>
  <si>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</si>
  <si>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</si>
  <si>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</si>
  <si>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</si>
  <si>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</si>
  <si>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</si>
  <si>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</si>
  <si>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</si>
  <si>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</si>
  <si>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</si>
  <si>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</si>
  <si>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</si>
  <si>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</si>
  <si>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</si>
  <si>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</si>
  <si>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</si>
  <si>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</si>
  <si>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</si>
  <si>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</si>
  <si>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</si>
  <si>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</si>
  <si>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</si>
  <si>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</si>
  <si>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</si>
  <si>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</si>
  <si>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</si>
  <si>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</si>
  <si>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</si>
  <si>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</si>
  <si>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</si>
  <si>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</si>
  <si>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</si>
  <si>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</si>
  <si>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</si>
  <si>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</si>
  <si>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</si>
  <si>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</si>
  <si>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</si>
  <si>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</si>
  <si>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</si>
  <si>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</si>
  <si>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</si>
  <si>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</si>
  <si>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</si>
  <si>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</si>
  <si>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</si>
  <si>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</si>
  <si>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</si>
  <si>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</si>
  <si>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</si>
  <si>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</si>
  <si>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</si>
  <si>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</si>
  <si>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</si>
  <si>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</si>
  <si>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</si>
  <si>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</si>
  <si>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</si>
  <si>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</si>
  <si>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</si>
  <si>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</si>
  <si>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</si>
  <si>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</si>
  <si>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</si>
  <si>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</si>
  <si>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</si>
  <si>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</si>
  <si>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</si>
  <si>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</si>
  <si>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</si>
  <si>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</si>
  <si>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</si>
  <si>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</si>
  <si>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</si>
  <si>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</si>
  <si>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</si>
  <si>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</si>
  <si>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</si>
  <si>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</si>
  <si>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</si>
  <si>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</si>
  <si>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</si>
  <si>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</si>
  <si>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</si>
  <si>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</si>
  <si>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</si>
  <si>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</si>
  <si>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</si>
  <si>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</si>
  <si>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</si>
  <si>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</si>
  <si>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</si>
  <si>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</si>
  <si>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</si>
  <si>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</si>
  <si>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</si>
  <si>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</si>
  <si>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</si>
  <si>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</si>
  <si>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</si>
  <si>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</si>
  <si>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</si>
  <si>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</si>
  <si>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</si>
  <si>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</si>
  <si>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</si>
  <si>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</si>
  <si>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</si>
  <si>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</si>
  <si>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</si>
  <si>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</si>
  <si>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</si>
  <si>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</si>
  <si>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</si>
  <si>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</si>
  <si>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</si>
  <si>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</si>
  <si>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</si>
  <si>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</si>
  <si>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</si>
  <si>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</si>
  <si>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</si>
  <si>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</si>
  <si>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</si>
  <si>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</si>
  <si>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</si>
  <si>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</si>
  <si>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</si>
  <si>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</si>
  <si>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</si>
  <si>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</si>
  <si>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</si>
  <si>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</si>
  <si>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</si>
  <si>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</si>
  <si>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</si>
  <si>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</si>
  <si>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</si>
  <si>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</si>
  <si>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</si>
  <si>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</si>
  <si>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</si>
  <si>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</si>
  <si>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</si>
  <si>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</si>
  <si>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</si>
  <si>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</si>
  <si>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</si>
  <si>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</si>
  <si>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</si>
  <si>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</si>
  <si>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</si>
  <si>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</si>
  <si>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</si>
  <si>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</si>
  <si>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</si>
  <si>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</si>
  <si>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</si>
  <si>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</si>
  <si>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</si>
  <si>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</si>
  <si>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</si>
  <si>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</si>
  <si>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</si>
  <si>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</si>
  <si>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</si>
  <si>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</si>
  <si>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</si>
  <si>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</si>
  <si>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</si>
  <si>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</si>
  <si>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</si>
  <si>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</si>
  <si>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</si>
  <si>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</si>
  <si>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</si>
  <si>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</si>
  <si>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</si>
  <si>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</si>
  <si>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</si>
  <si>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</si>
  <si>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</si>
  <si>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</si>
  <si>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</si>
  <si>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</si>
  <si>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</si>
  <si>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</si>
  <si>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</si>
  <si>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</si>
  <si>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</si>
  <si>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</si>
  <si>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</si>
  <si>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</si>
  <si>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</si>
  <si>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</si>
  <si>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</si>
  <si>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</si>
  <si>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</si>
  <si>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</si>
  <si>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</si>
  <si>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</si>
  <si>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</si>
  <si>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</si>
  <si>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</si>
  <si>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</si>
  <si>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</si>
  <si>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</si>
  <si>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</si>
  <si>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</si>
  <si>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</si>
  <si>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</si>
  <si>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</si>
  <si>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</si>
  <si>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</si>
  <si>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</si>
  <si>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</si>
  <si>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</si>
  <si>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</si>
  <si>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</si>
  <si>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</si>
  <si>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</si>
  <si>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</si>
  <si>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</si>
  <si>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</si>
  <si>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</si>
  <si>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</si>
  <si>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</si>
  <si>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</si>
  <si>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</si>
  <si>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</si>
  <si>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</si>
  <si>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</si>
  <si>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</si>
  <si>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</si>
  <si>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</si>
  <si>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</si>
  <si>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</si>
  <si>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</si>
  <si>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</si>
  <si>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</si>
  <si>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</si>
  <si>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</si>
  <si>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</si>
  <si>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</si>
  <si>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</si>
  <si>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</si>
  <si>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</si>
  <si>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</si>
  <si>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</si>
  <si>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</si>
  <si>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</si>
  <si>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</si>
  <si>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</si>
  <si>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</si>
  <si>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</si>
  <si>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</si>
  <si>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</si>
  <si>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</si>
  <si>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</si>
  <si>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</si>
  <si>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</si>
  <si>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</si>
  <si>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</si>
  <si>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</si>
  <si>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</si>
  <si>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</si>
  <si>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</si>
  <si>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</si>
  <si>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</si>
  <si>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</si>
  <si>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</si>
  <si>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</si>
  <si>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</si>
  <si>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</si>
  <si>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</si>
  <si>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</si>
  <si>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</si>
  <si>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</si>
  <si>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</si>
  <si>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</si>
  <si>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</si>
  <si>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</si>
  <si>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</si>
  <si>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</si>
  <si>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</si>
  <si>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</si>
  <si>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</si>
  <si>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</si>
  <si>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</si>
  <si>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</si>
  <si>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</si>
  <si>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</si>
  <si>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</si>
  <si>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</si>
  <si>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</si>
  <si>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</si>
  <si>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</si>
  <si>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</si>
  <si>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</si>
  <si>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</si>
  <si>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</si>
  <si>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</si>
  <si>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</si>
  <si>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</si>
  <si>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</si>
  <si>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</si>
  <si>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</si>
  <si>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</si>
  <si>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</si>
  <si>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</si>
  <si>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</si>
  <si>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</si>
  <si>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</si>
  <si>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</si>
  <si>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</si>
  <si>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</si>
  <si>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</si>
  <si>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</si>
  <si>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</si>
  <si>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</si>
  <si>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</si>
  <si>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</si>
  <si>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</si>
  <si>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</si>
  <si>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</si>
  <si>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</si>
  <si>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</si>
  <si>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</si>
  <si>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</si>
  <si>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</si>
  <si>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</si>
  <si>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</si>
  <si>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</si>
  <si>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</si>
  <si>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</si>
  <si>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</si>
  <si>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</si>
  <si>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</si>
  <si>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</si>
  <si>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</si>
  <si>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</si>
  <si>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</si>
  <si>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</si>
  <si>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</si>
  <si>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</si>
  <si>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</si>
  <si>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</si>
  <si>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</si>
  <si>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</si>
  <si>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</si>
  <si>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</si>
  <si>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</si>
  <si>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</si>
  <si>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</si>
  <si>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</si>
  <si>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</si>
  <si>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</si>
  <si>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</si>
  <si>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</si>
  <si>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</si>
  <si>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</si>
  <si>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</si>
  <si>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</si>
  <si>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</si>
  <si>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</si>
  <si>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</si>
  <si>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</si>
  <si>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</si>
  <si>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</si>
  <si>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</si>
  <si>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</si>
  <si>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</si>
  <si>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</si>
  <si>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</si>
  <si>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</si>
  <si>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</si>
  <si>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</si>
  <si>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</si>
  <si>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</si>
  <si>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</si>
  <si>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</si>
  <si>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</si>
  <si>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</si>
  <si>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</si>
  <si>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</si>
  <si>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</si>
  <si>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</si>
  <si>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</si>
  <si>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</si>
  <si>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</si>
  <si>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</si>
  <si>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</si>
  <si>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</si>
  <si>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</si>
  <si>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</si>
  <si>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</si>
  <si>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</si>
  <si>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</si>
  <si>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</si>
  <si>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</si>
  <si>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</si>
  <si>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</si>
  <si>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</si>
  <si>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</si>
  <si>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</si>
  <si>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</si>
  <si>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</si>
  <si>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</si>
  <si>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</si>
  <si>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</si>
  <si>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</si>
  <si>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</si>
  <si>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</si>
  <si>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</si>
  <si>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</si>
  <si>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</si>
  <si>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</si>
  <si>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</si>
  <si>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</si>
  <si>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</si>
  <si>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</si>
  <si>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</si>
  <si>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</si>
  <si>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</si>
  <si>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</si>
  <si>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</si>
  <si>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</si>
  <si>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</si>
  <si>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</si>
  <si>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</si>
  <si>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</si>
  <si>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</si>
  <si>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</si>
  <si>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</si>
  <si>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</si>
  <si>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</si>
  <si>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</si>
  <si>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</si>
  <si>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</si>
  <si>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</si>
  <si>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</si>
  <si>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</si>
  <si>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</si>
  <si>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</si>
  <si>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</si>
  <si>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</si>
  <si>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</si>
  <si>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</si>
  <si>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</si>
  <si>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</si>
  <si>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</si>
  <si>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</si>
  <si>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</si>
  <si>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</si>
  <si>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</si>
  <si>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</si>
  <si>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</si>
  <si>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</si>
  <si>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</si>
  <si>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</si>
  <si>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</si>
  <si>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</si>
  <si>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</si>
  <si>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</si>
  <si>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</si>
  <si>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</si>
  <si>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</si>
  <si>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</si>
  <si>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</si>
  <si>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</si>
  <si>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</si>
  <si>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</si>
  <si>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</si>
  <si>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</si>
  <si>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</si>
  <si>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</si>
  <si>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</si>
  <si>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</si>
  <si>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</si>
  <si>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</si>
  <si>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</si>
  <si>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</si>
  <si>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</si>
  <si>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</si>
  <si>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</si>
  <si>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</si>
  <si>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</si>
  <si>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</si>
  <si>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</si>
  <si>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</si>
  <si>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</si>
  <si>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</si>
  <si>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</si>
  <si>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</si>
  <si>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</si>
  <si>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</si>
  <si>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</si>
  <si>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</si>
  <si>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</si>
  <si>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</si>
  <si>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</si>
  <si>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</si>
  <si>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</si>
  <si>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</si>
  <si>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</si>
  <si>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</si>
  <si>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</si>
  <si>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</si>
  <si>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</si>
  <si>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</si>
  <si>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</si>
  <si>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</si>
  <si>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</si>
  <si>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</si>
  <si>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</si>
  <si>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</si>
  <si>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</si>
  <si>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</si>
  <si>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</si>
  <si>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</si>
  <si>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</si>
  <si>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</si>
  <si>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</si>
  <si>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</si>
  <si>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</si>
  <si>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</si>
  <si>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</si>
  <si>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</si>
  <si>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</si>
  <si>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</si>
  <si>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</si>
  <si>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</si>
  <si>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</si>
  <si>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</si>
  <si>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</si>
  <si>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</si>
  <si>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</si>
  <si>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</si>
  <si>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</si>
  <si>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</si>
  <si>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</si>
  <si>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</si>
  <si>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</si>
  <si>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</si>
  <si>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</si>
  <si>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</si>
  <si>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</si>
  <si>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</si>
  <si>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</si>
  <si>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</si>
  <si>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</si>
  <si>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</si>
  <si>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</si>
  <si>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</si>
  <si>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</si>
  <si>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</si>
  <si>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</si>
  <si>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</si>
  <si>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</si>
  <si>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</si>
  <si>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</si>
  <si>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</si>
  <si>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</si>
  <si>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</si>
  <si>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</si>
  <si>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</si>
  <si>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</si>
  <si>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</si>
  <si>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</si>
  <si>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</si>
  <si>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</si>
  <si>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</si>
  <si>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</si>
  <si>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</si>
  <si>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</si>
  <si>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</si>
  <si>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</si>
  <si>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</si>
  <si>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</si>
  <si>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</si>
  <si>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</si>
  <si>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</si>
  <si>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</si>
  <si>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</si>
  <si>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</si>
  <si>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</si>
  <si>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</si>
  <si>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</si>
  <si>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</si>
  <si>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</si>
  <si>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</si>
  <si>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</si>
  <si>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</si>
  <si>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</si>
  <si>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</si>
  <si>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</si>
  <si>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</si>
  <si>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</si>
  <si>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</si>
  <si>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</si>
  <si>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</si>
  <si>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</si>
  <si>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</si>
  <si>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</si>
  <si>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</si>
  <si>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</si>
  <si>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</si>
  <si>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</si>
  <si>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</si>
  <si>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</si>
  <si>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</si>
  <si>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</si>
  <si>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</si>
  <si>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</si>
  <si>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</si>
  <si>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</si>
  <si>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</si>
  <si>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</si>
  <si>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</si>
  <si>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</si>
  <si>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</si>
  <si>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</si>
  <si>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</si>
  <si>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</si>
  <si>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</si>
  <si>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</si>
  <si>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</si>
  <si>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</si>
  <si>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</si>
  <si>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</si>
  <si>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</si>
  <si>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</si>
  <si>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</si>
  <si>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</si>
  <si>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</si>
  <si>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</si>
  <si>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</si>
  <si>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</si>
  <si>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</si>
  <si>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</si>
  <si>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</si>
  <si>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</si>
  <si>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</si>
  <si>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</si>
  <si>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</si>
  <si>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</si>
  <si>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</si>
  <si>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</si>
  <si>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</si>
  <si>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</si>
  <si>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</si>
  <si>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</si>
  <si>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</si>
  <si>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</si>
  <si>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</si>
  <si>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</si>
  <si>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</si>
  <si>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</si>
  <si>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</si>
  <si>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</si>
  <si>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</si>
  <si>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</si>
  <si>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</si>
  <si>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</si>
  <si>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</si>
  <si>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</si>
  <si>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</si>
  <si>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</si>
  <si>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</si>
  <si>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</si>
  <si>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</si>
  <si>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</si>
  <si>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</si>
  <si>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</si>
  <si>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</si>
  <si>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</si>
  <si>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</si>
  <si>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</si>
  <si>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</si>
  <si>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</si>
  <si>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</si>
  <si>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</si>
  <si>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</si>
  <si>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</si>
  <si>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</si>
  <si>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</si>
  <si>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</si>
  <si>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</si>
  <si>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</si>
  <si>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</si>
  <si>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</si>
  <si>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</si>
  <si>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</si>
  <si>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</si>
  <si>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</si>
  <si>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</si>
  <si>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</si>
  <si>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</si>
  <si>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</si>
  <si>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</si>
  <si>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</si>
  <si>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</si>
  <si>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</si>
  <si>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</si>
  <si>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</si>
  <si>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</si>
  <si>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</si>
  <si>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</si>
  <si>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</si>
  <si>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</si>
  <si>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</si>
  <si>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</si>
  <si>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</si>
  <si>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</si>
  <si>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</si>
  <si>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</si>
  <si>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</si>
  <si>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</si>
  <si>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</si>
  <si>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</si>
  <si>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</si>
  <si>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</si>
  <si>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</si>
  <si>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</si>
  <si>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</si>
  <si>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</si>
  <si>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</si>
  <si>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</si>
  <si>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</si>
  <si>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</si>
  <si>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</si>
  <si>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</si>
  <si>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</si>
  <si>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</si>
  <si>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</si>
  <si>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</si>
  <si>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</si>
  <si>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</si>
  <si>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</si>
  <si>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</si>
  <si>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</si>
  <si>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</si>
  <si>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</si>
  <si>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</si>
  <si>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</si>
  <si>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</si>
  <si>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</si>
  <si>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</si>
  <si>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</si>
  <si>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</si>
  <si>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</si>
  <si>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</si>
  <si>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</si>
  <si>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</si>
  <si>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</si>
  <si>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</si>
  <si>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</si>
  <si>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</si>
  <si>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</si>
  <si>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</si>
  <si>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</si>
  <si>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</si>
  <si>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</si>
  <si>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</si>
  <si>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</si>
  <si>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</si>
  <si>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</si>
  <si>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</si>
  <si>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</si>
  <si>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</si>
  <si>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</si>
  <si>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</si>
  <si>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</si>
  <si>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</si>
  <si>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</si>
  <si>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</si>
  <si>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</si>
  <si>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</si>
  <si>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</si>
  <si>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</si>
  <si>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</si>
  <si>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</si>
  <si>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</si>
  <si>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</si>
  <si>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</si>
  <si>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</si>
  <si>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</si>
  <si>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</si>
  <si>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</si>
  <si>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</si>
  <si>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</si>
  <si>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</si>
  <si>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</si>
  <si>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</si>
  <si>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</si>
  <si>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</si>
  <si>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</si>
  <si>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</si>
  <si>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</si>
  <si>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</si>
  <si>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</si>
  <si>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</si>
  <si>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</si>
  <si>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</si>
  <si>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</si>
  <si>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</si>
  <si>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</si>
  <si>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</si>
  <si>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</si>
  <si>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</si>
  <si>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</si>
  <si>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</si>
  <si>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</si>
  <si>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</si>
  <si>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</si>
  <si>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</si>
  <si>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</si>
  <si>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</si>
  <si>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</si>
  <si>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</si>
  <si>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</si>
  <si>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</si>
  <si>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</si>
  <si>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</si>
  <si>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</si>
  <si>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</si>
  <si>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</si>
  <si>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</si>
  <si>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</si>
  <si>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</si>
  <si>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</si>
  <si>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</si>
  <si>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</si>
  <si>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</si>
  <si>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</si>
  <si>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</si>
  <si>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</si>
  <si>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</si>
  <si>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</si>
  <si>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</si>
  <si>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</si>
  <si>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</si>
  <si>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</si>
  <si>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</si>
  <si>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</si>
  <si>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</si>
  <si>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</si>
  <si>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</si>
  <si>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</si>
  <si>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</si>
  <si>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</si>
  <si>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</si>
  <si>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</si>
  <si>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</si>
  <si>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</si>
  <si>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</si>
  <si>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</si>
  <si>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</si>
  <si>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</si>
  <si>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</si>
  <si>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</si>
  <si>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</si>
  <si>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</si>
  <si>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</si>
  <si>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</si>
  <si>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</si>
  <si>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</si>
  <si>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</si>
  <si>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</si>
  <si>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</si>
  <si>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</si>
  <si>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</si>
  <si>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</si>
  <si>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</si>
  <si>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</si>
  <si>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</si>
  <si>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</si>
  <si>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</si>
  <si>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</si>
  <si>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</si>
  <si>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</si>
  <si>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</si>
  <si>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</si>
  <si>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</si>
  <si>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</si>
  <si>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</si>
  <si>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</si>
  <si>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</si>
  <si>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</si>
  <si>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</si>
  <si>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</si>
  <si>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</si>
  <si>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</si>
  <si>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</si>
  <si>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</si>
  <si>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</si>
  <si>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</si>
  <si>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</si>
  <si>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</si>
  <si>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</si>
  <si>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</si>
  <si>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</si>
  <si>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</si>
  <si>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</si>
  <si>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</si>
  <si>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</si>
  <si>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</si>
  <si>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</si>
  <si>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</si>
  <si>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</si>
  <si>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</si>
  <si>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</si>
  <si>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</si>
  <si>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</si>
  <si>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</si>
  <si>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</si>
  <si>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</si>
  <si>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</si>
  <si>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</si>
  <si>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</si>
  <si>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</si>
  <si>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</si>
  <si>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</si>
  <si>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</si>
  <si>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</si>
  <si>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</si>
  <si>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</si>
  <si>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</si>
  <si>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</si>
  <si>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</si>
  <si>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</si>
  <si>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</si>
  <si>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</si>
  <si>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</si>
  <si>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</si>
  <si>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</si>
  <si>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</si>
  <si>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</si>
  <si>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</si>
  <si>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</si>
  <si>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</si>
  <si>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</si>
  <si>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</si>
  <si>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</si>
  <si>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</si>
  <si>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</si>
  <si>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</si>
  <si>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</si>
  <si>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</si>
  <si>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</si>
  <si>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</si>
  <si>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</si>
  <si>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</si>
  <si>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</si>
  <si>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</si>
  <si>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</si>
  <si>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</si>
  <si>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</si>
  <si>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</si>
  <si>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</si>
  <si>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</si>
  <si>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</si>
  <si>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</si>
  <si>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</si>
  <si>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</si>
  <si>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</si>
  <si>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</si>
  <si>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</si>
  <si>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</si>
  <si>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</si>
  <si>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</si>
  <si>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</si>
  <si>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</si>
  <si>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</si>
  <si>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</si>
  <si>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</si>
  <si>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</si>
  <si>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</si>
  <si>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</si>
  <si>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</si>
  <si>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</si>
  <si>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</si>
  <si>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</si>
  <si>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</si>
  <si>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</si>
  <si>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</si>
  <si>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</si>
  <si>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</si>
  <si>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</si>
  <si>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</si>
  <si>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</si>
  <si>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</si>
  <si>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</si>
  <si>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</si>
  <si>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</si>
  <si>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</si>
  <si>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</si>
  <si>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</si>
  <si>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</si>
  <si>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</si>
  <si>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</si>
  <si>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</si>
  <si>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</si>
  <si>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</si>
  <si>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</si>
  <si>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</si>
  <si>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</si>
  <si>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</si>
  <si>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</si>
  <si>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</si>
  <si>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</si>
  <si>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</si>
  <si>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</si>
  <si>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</si>
  <si>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</si>
  <si>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</si>
  <si>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</si>
  <si>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</si>
  <si>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</si>
  <si>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</si>
  <si>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</si>
  <si>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</si>
  <si>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</si>
  <si>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</si>
  <si>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</si>
  <si>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</si>
  <si>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</si>
  <si>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</si>
  <si>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</si>
  <si>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</si>
  <si>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</si>
  <si>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</si>
  <si>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</si>
  <si>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</si>
  <si>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</si>
  <si>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</si>
  <si>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</si>
  <si>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</si>
  <si>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</si>
  <si>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</si>
  <si>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</si>
  <si>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</si>
  <si>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</si>
  <si>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</si>
  <si>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</si>
  <si>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</si>
  <si>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</si>
  <si>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</si>
  <si>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</si>
  <si>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</si>
  <si>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</si>
  <si>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</si>
  <si>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</si>
  <si>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</si>
  <si>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</si>
  <si>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</si>
  <si>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</si>
  <si>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</si>
  <si>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</si>
  <si>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</si>
  <si>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</si>
  <si>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</si>
  <si>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</si>
  <si>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</si>
  <si>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</si>
  <si>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</si>
  <si>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</si>
  <si>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</si>
  <si>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</si>
  <si>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</si>
  <si>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</si>
  <si>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</si>
  <si>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</si>
  <si>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</si>
  <si>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</si>
  <si>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</si>
  <si>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</si>
  <si>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</si>
  <si>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</si>
  <si>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</si>
  <si>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</si>
  <si>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</si>
  <si>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</si>
  <si>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</si>
  <si>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</si>
  <si>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</si>
  <si>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</si>
  <si>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</si>
  <si>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</si>
  <si>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</si>
  <si>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</si>
  <si>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</si>
  <si>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</si>
  <si>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</si>
  <si>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</si>
  <si>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</si>
  <si>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</si>
  <si>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</si>
  <si>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</si>
  <si>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</si>
  <si>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</si>
  <si>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</si>
  <si>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</si>
  <si>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</si>
  <si>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</si>
  <si>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</si>
  <si>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</si>
  <si>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</si>
  <si>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</si>
  <si>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</si>
  <si>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</si>
  <si>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</si>
  <si>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</si>
  <si>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</si>
  <si>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</si>
  <si>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</si>
  <si>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</si>
  <si>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</si>
  <si>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</si>
  <si>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</si>
  <si>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</si>
  <si>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</si>
  <si>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</si>
  <si>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</si>
  <si>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</si>
  <si>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</si>
  <si>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</si>
  <si>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</si>
  <si>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</si>
  <si>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</si>
  <si>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</si>
  <si>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</si>
  <si>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</si>
  <si>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</si>
  <si>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</si>
  <si>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</si>
  <si>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</si>
  <si>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</si>
  <si>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</si>
  <si>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</si>
  <si>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</si>
  <si>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</si>
  <si>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</si>
  <si>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</si>
  <si>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</si>
  <si>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</si>
  <si>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</si>
  <si>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</si>
  <si>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</si>
  <si>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</si>
  <si>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</si>
  <si>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</si>
  <si>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</si>
  <si>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</si>
  <si>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</si>
  <si>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</si>
  <si>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</si>
  <si>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</si>
  <si>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</si>
  <si>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</si>
  <si>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</si>
  <si>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</si>
  <si>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</si>
  <si>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</si>
  <si>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</si>
  <si>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</si>
  <si>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</si>
  <si>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</si>
  <si>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</si>
  <si>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</si>
  <si>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</si>
  <si>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</si>
  <si>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</si>
  <si>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</si>
  <si>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</si>
  <si>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</si>
  <si>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</si>
  <si>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</si>
  <si>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</si>
  <si>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</si>
  <si>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</si>
  <si>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</si>
  <si>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</si>
  <si>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</si>
  <si>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</si>
  <si>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</si>
  <si>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</si>
  <si>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</si>
  <si>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</si>
  <si>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</si>
  <si>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</si>
  <si>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</si>
  <si>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</si>
  <si>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</si>
  <si>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</si>
  <si>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</si>
  <si>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</si>
  <si>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</si>
  <si>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</si>
  <si>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</si>
  <si>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</si>
  <si>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</si>
  <si>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</si>
  <si>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</si>
  <si>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</si>
  <si>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</si>
  <si>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</si>
  <si>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</si>
  <si>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</si>
  <si>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</si>
  <si>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</si>
  <si>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</si>
  <si>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</si>
  <si>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</si>
  <si>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</si>
  <si>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</si>
  <si>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</si>
  <si>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</si>
  <si>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</si>
  <si>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</si>
  <si>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</si>
  <si>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</si>
  <si>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</si>
  <si>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</si>
  <si>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</si>
  <si>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</si>
  <si>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</si>
  <si>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</si>
  <si>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</si>
  <si>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</si>
  <si>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</si>
  <si>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</si>
  <si>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</si>
  <si>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</si>
  <si>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</si>
  <si>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</si>
  <si>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</si>
  <si>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</si>
  <si>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</si>
  <si>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</si>
  <si>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</si>
  <si>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</si>
  <si>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</si>
  <si>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</si>
  <si>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</si>
  <si>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</si>
  <si>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</si>
  <si>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</si>
  <si>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</si>
  <si>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</si>
  <si>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</si>
  <si>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</si>
  <si>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</si>
  <si>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</si>
  <si>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</si>
  <si>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</si>
  <si>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</si>
  <si>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</si>
  <si>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</si>
  <si>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</si>
  <si>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</si>
  <si>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</si>
  <si>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</si>
  <si>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</si>
  <si>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</si>
  <si>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</si>
  <si>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</si>
  <si>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</si>
  <si>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</si>
  <si>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</si>
  <si>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</si>
  <si>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</si>
  <si>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</si>
  <si>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</si>
  <si>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</si>
  <si>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</si>
  <si>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</si>
  <si>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</si>
  <si>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</si>
  <si>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</si>
  <si>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</si>
  <si>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</si>
  <si>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</si>
  <si>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</si>
  <si>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</si>
  <si>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</si>
  <si>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</si>
  <si>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</si>
  <si>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</si>
  <si>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</si>
  <si>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</si>
  <si>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</si>
  <si>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</si>
  <si>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</si>
  <si>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</si>
  <si>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</si>
  <si>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</si>
  <si>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</si>
  <si>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</si>
  <si>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</si>
  <si>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</si>
  <si>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</si>
  <si>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</si>
  <si>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</si>
  <si>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</si>
  <si>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</si>
  <si>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</si>
  <si>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</si>
  <si>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</si>
  <si>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</si>
  <si>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</si>
  <si>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</si>
  <si>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</si>
  <si>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</si>
  <si>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</si>
  <si>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</si>
  <si>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</si>
  <si>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</si>
  <si>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</si>
  <si>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</si>
  <si>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</si>
  <si>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</si>
  <si>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</si>
  <si>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</si>
  <si>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</si>
  <si>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</si>
  <si>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</si>
  <si>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</si>
  <si>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</si>
  <si>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</si>
  <si>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</si>
  <si>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</si>
  <si>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</si>
  <si>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</si>
  <si>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</si>
  <si>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</si>
  <si>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</si>
  <si>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</si>
  <si>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</si>
  <si>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</si>
  <si>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</si>
  <si>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</si>
  <si>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</si>
  <si>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</si>
  <si>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</si>
  <si>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</si>
  <si>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</si>
  <si>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</si>
  <si>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</si>
  <si>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</si>
  <si>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</si>
  <si>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</si>
  <si>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</si>
  <si>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</si>
  <si>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</si>
  <si>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</si>
  <si>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</si>
  <si>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</si>
  <si>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</si>
  <si>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</si>
  <si>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</si>
  <si>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</si>
  <si>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</si>
  <si>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</si>
  <si>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</si>
  <si>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</si>
  <si>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</si>
  <si>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</si>
  <si>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</si>
  <si>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</si>
  <si>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</si>
  <si>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</si>
  <si>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</si>
  <si>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</si>
  <si>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</si>
  <si>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</si>
  <si>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</si>
  <si>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</si>
  <si>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</si>
  <si>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</si>
  <si>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</si>
  <si>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</si>
  <si>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</si>
  <si>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</si>
  <si>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</si>
  <si>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</si>
  <si>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</si>
  <si>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</si>
  <si>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</si>
  <si>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</si>
  <si>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</si>
  <si>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</si>
  <si>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</si>
  <si>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</si>
  <si>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</si>
  <si>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</si>
  <si>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</si>
  <si>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</si>
  <si>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</si>
  <si>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</si>
  <si>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</si>
  <si>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</si>
  <si>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</si>
  <si>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</si>
  <si>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</si>
  <si>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</si>
  <si>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</si>
  <si>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</si>
  <si>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</si>
  <si>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</si>
  <si>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</si>
  <si>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</si>
  <si>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</si>
  <si>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</si>
  <si>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</si>
  <si>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</si>
  <si>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</si>
  <si>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</si>
  <si>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</si>
  <si>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</si>
  <si>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</si>
  <si>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</si>
  <si>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</si>
  <si>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</si>
  <si>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</si>
  <si>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</si>
  <si>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</si>
  <si>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</si>
  <si>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</si>
  <si>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</si>
  <si>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</si>
  <si>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</si>
  <si>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</si>
  <si>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</si>
  <si>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</si>
  <si>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</si>
  <si>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</si>
  <si>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</si>
  <si>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</si>
  <si>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</si>
  <si>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</si>
  <si>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</si>
  <si>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</si>
  <si>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</si>
  <si>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</si>
  <si>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</si>
  <si>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</si>
  <si>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</si>
  <si>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</si>
  <si>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</si>
  <si>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</si>
  <si>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</si>
  <si>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</si>
  <si>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</si>
  <si>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</si>
  <si>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</si>
  <si>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</si>
  <si>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</si>
  <si>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</si>
  <si>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</si>
  <si>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</si>
  <si>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</si>
  <si>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</si>
  <si>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</si>
  <si>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</si>
  <si>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</si>
  <si>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</si>
  <si>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</si>
  <si>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</si>
  <si>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</si>
  <si>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</si>
  <si>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</si>
  <si>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</si>
  <si>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</si>
  <si>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</si>
  <si>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</si>
  <si>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</si>
  <si>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</si>
  <si>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</si>
  <si>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</si>
  <si>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</si>
  <si>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</si>
  <si>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</si>
  <si>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</si>
  <si>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</si>
  <si>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</si>
  <si>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</si>
  <si>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</si>
  <si>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</si>
  <si>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</si>
  <si>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</si>
  <si>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</si>
  <si>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</si>
  <si>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</si>
  <si>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</si>
  <si>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</si>
  <si>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</si>
  <si>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</si>
  <si>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</si>
  <si>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</si>
  <si>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</si>
  <si>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</si>
  <si>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</si>
  <si>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</si>
  <si>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</si>
  <si>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</si>
  <si>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</si>
  <si>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</si>
  <si>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</si>
  <si>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</si>
  <si>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</si>
  <si>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</si>
  <si>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</si>
  <si>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</si>
  <si>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</si>
  <si>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</si>
  <si>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</si>
  <si>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</si>
  <si>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</si>
  <si>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</si>
  <si>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</si>
  <si>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</si>
  <si>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</si>
  <si>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</si>
  <si>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</si>
  <si>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</si>
  <si>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</si>
  <si>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</si>
  <si>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</si>
  <si>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</si>
  <si>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</si>
  <si>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</si>
  <si>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</si>
  <si>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</si>
  <si>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</si>
  <si>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</si>
  <si>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</si>
  <si>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</si>
  <si>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</si>
  <si>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</si>
  <si>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</si>
  <si>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</si>
  <si>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</si>
  <si>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</si>
  <si>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</si>
  <si>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</si>
  <si>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</si>
  <si>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</si>
  <si>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</si>
  <si>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</si>
  <si>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</si>
  <si>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</si>
  <si>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</si>
  <si>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</si>
  <si>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</si>
  <si>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</si>
  <si>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</si>
  <si>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</si>
  <si>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</si>
  <si>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</si>
  <si>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</si>
  <si>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</si>
  <si>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</si>
  <si>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</si>
  <si>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</si>
  <si>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</si>
  <si>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</si>
  <si>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</si>
  <si>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</si>
  <si>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</si>
  <si>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</si>
  <si>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</si>
  <si>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</si>
  <si>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</si>
  <si>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</si>
  <si>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</si>
  <si>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</si>
  <si>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</si>
  <si>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</si>
  <si>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</si>
  <si>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</si>
  <si>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</si>
  <si>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</si>
  <si>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</si>
  <si>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</si>
  <si>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</si>
  <si>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</si>
  <si>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</si>
  <si>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</si>
  <si>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</si>
  <si>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</si>
  <si>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</si>
  <si>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</si>
  <si>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</si>
  <si>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</si>
  <si>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</si>
  <si>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</si>
  <si>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</si>
  <si>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</si>
  <si>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</si>
  <si>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</si>
  <si>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</si>
  <si>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</si>
  <si>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</si>
  <si>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</si>
  <si>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</si>
  <si>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</si>
  <si>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</si>
  <si>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</si>
  <si>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</si>
  <si>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</si>
  <si>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</si>
  <si>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</si>
  <si>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</si>
  <si>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</si>
  <si>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</si>
  <si>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</si>
  <si>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</si>
  <si>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</si>
  <si>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</si>
  <si>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</si>
  <si>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</si>
  <si>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</si>
  <si>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</si>
  <si>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</si>
  <si>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</si>
  <si>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</si>
  <si>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</si>
  <si>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</si>
  <si>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</si>
  <si>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</si>
  <si>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</si>
  <si>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</si>
  <si>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</si>
  <si>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</si>
  <si>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</si>
  <si>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</si>
  <si>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</si>
  <si>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</si>
  <si>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</si>
  <si>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</si>
  <si>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</si>
  <si>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</si>
  <si>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</si>
  <si>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</si>
  <si>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</si>
  <si>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</si>
  <si>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</si>
  <si>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</si>
  <si>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</si>
  <si>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</si>
  <si>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</si>
  <si>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</si>
  <si>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</si>
  <si>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</si>
  <si>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</si>
  <si>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</si>
  <si>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</si>
  <si>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</si>
  <si>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</si>
  <si>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</si>
  <si>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</si>
  <si>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</si>
  <si>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</si>
  <si>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</si>
  <si>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</si>
  <si>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</si>
  <si>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</si>
  <si>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</si>
  <si>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</si>
  <si>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</si>
  <si>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</si>
  <si>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</si>
  <si>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</si>
  <si>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</si>
  <si>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</si>
  <si>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</si>
  <si>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</si>
  <si>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</si>
  <si>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</si>
  <si>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</si>
  <si>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</si>
  <si>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</si>
  <si>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</si>
  <si>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</si>
  <si>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</si>
  <si>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</si>
  <si>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</si>
  <si>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</si>
  <si>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</si>
  <si>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</si>
  <si>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</si>
  <si>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</si>
  <si>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</si>
  <si>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</si>
  <si>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</si>
  <si>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</si>
  <si>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</si>
  <si>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</si>
  <si>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</si>
  <si>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</si>
  <si>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</si>
  <si>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</si>
  <si>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</si>
  <si>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</si>
  <si>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</si>
  <si>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</si>
  <si>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</si>
  <si>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</si>
  <si>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</si>
  <si>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</si>
  <si>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</si>
  <si>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</si>
  <si>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</si>
  <si>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</si>
  <si>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</si>
  <si>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</si>
  <si>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</si>
  <si>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</si>
  <si>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</si>
  <si>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</si>
  <si>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</si>
  <si>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</si>
  <si>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</si>
  <si>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</si>
  <si>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</si>
  <si>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</si>
  <si>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</si>
  <si>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</si>
  <si>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</si>
  <si>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</si>
  <si>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</si>
  <si>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</si>
  <si>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</si>
  <si>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</si>
  <si>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</si>
  <si>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</si>
  <si>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</si>
  <si>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</si>
  <si>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</si>
  <si>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</si>
  <si>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</si>
  <si>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</si>
  <si>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</si>
  <si>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</si>
  <si>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</si>
  <si>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</si>
  <si>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</si>
  <si>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</si>
  <si>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</si>
  <si>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</si>
  <si>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</si>
  <si>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</si>
  <si>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</si>
  <si>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</si>
  <si>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</si>
  <si>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</si>
  <si>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</si>
  <si>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</si>
  <si>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</si>
  <si>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</si>
  <si>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</si>
  <si>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</si>
  <si>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</si>
  <si>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</si>
  <si>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</si>
  <si>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</si>
  <si>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</si>
  <si>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</si>
  <si>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</si>
  <si>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</si>
  <si>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</si>
  <si>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</si>
  <si>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</si>
  <si>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</si>
  <si>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</si>
  <si>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</si>
  <si>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</si>
  <si>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</si>
  <si>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</si>
  <si>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</si>
  <si>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</si>
  <si>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</si>
  <si>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</si>
  <si>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</si>
  <si>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</si>
  <si>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</si>
  <si>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</si>
  <si>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</si>
  <si>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</si>
  <si>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</si>
  <si>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</si>
  <si>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</si>
  <si>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</si>
  <si>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</si>
  <si>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</si>
  <si>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</si>
  <si>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</si>
  <si>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</si>
  <si>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</si>
  <si>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</si>
  <si>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</si>
  <si>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</si>
  <si>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</si>
  <si>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</si>
  <si>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</si>
  <si>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</si>
  <si>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</si>
  <si>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</si>
  <si>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</si>
  <si>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</si>
  <si>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</si>
  <si>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</si>
  <si>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</si>
  <si>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</si>
  <si>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</si>
  <si>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</si>
  <si>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</si>
  <si>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</si>
  <si>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</si>
  <si>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</si>
  <si>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</si>
  <si>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</si>
  <si>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</si>
  <si>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</si>
  <si>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</si>
  <si>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</si>
  <si>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</si>
  <si>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</si>
  <si>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</si>
  <si>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</si>
  <si>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</si>
  <si>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</si>
  <si>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</si>
  <si>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</si>
  <si>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</si>
  <si>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</si>
  <si>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</si>
  <si>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</si>
  <si>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</si>
  <si>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</si>
  <si>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</si>
  <si>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</si>
  <si>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</si>
  <si>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</si>
  <si>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</si>
  <si>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</si>
  <si>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</si>
  <si>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</si>
  <si>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</si>
  <si>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</si>
  <si>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</si>
  <si>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</si>
  <si>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</si>
  <si>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</si>
  <si>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</si>
  <si>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</si>
  <si>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</si>
  <si>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</si>
  <si>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</si>
  <si>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</si>
  <si>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</si>
  <si>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</si>
  <si>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</si>
  <si>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</si>
  <si>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</si>
  <si>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</si>
  <si>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</si>
  <si>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</si>
  <si>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</si>
  <si>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</si>
  <si>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</si>
  <si>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</si>
  <si>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</si>
  <si>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</si>
  <si>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</si>
  <si>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</si>
  <si>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</si>
  <si>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</si>
  <si>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</si>
  <si>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</si>
  <si>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</si>
  <si>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</si>
  <si>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</si>
  <si>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</si>
  <si>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</si>
  <si>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</si>
  <si>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</si>
  <si>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</si>
  <si>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</si>
  <si>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</si>
  <si>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</si>
  <si>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</si>
  <si>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</si>
  <si>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</si>
  <si>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</si>
  <si>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</si>
  <si>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</si>
  <si>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</si>
  <si>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</si>
  <si>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</si>
  <si>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</si>
  <si>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</si>
  <si>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</si>
  <si>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</si>
  <si>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</si>
  <si>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</si>
  <si>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</si>
  <si>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</si>
  <si>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</si>
  <si>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</si>
  <si>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</si>
  <si>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</si>
  <si>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</si>
  <si>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</si>
  <si>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</si>
  <si>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</si>
  <si>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</si>
  <si>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</si>
  <si>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</si>
  <si>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</si>
  <si>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</si>
  <si>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</si>
  <si>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</si>
  <si>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</si>
  <si>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</si>
  <si>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</si>
  <si>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</si>
  <si>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</si>
  <si>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</si>
  <si>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</si>
  <si>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</si>
  <si>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</si>
  <si>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</si>
  <si>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</si>
  <si>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</si>
  <si>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</si>
  <si>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</si>
  <si>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</si>
  <si>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</si>
  <si>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</si>
  <si>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</si>
  <si>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</si>
  <si>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</si>
  <si>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</si>
  <si>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</si>
  <si>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</si>
  <si>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</si>
  <si>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</si>
  <si>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</si>
  <si>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</si>
  <si>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</si>
  <si>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</si>
  <si>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</si>
  <si>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</si>
  <si>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</si>
  <si>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</si>
  <si>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</si>
  <si>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</si>
  <si>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</si>
  <si>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</si>
  <si>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</si>
  <si>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</si>
  <si>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</si>
  <si>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</si>
  <si>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</si>
  <si>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</si>
  <si>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</si>
  <si>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</si>
  <si>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</si>
  <si>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</si>
  <si>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</si>
  <si>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</si>
  <si>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</si>
  <si>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</si>
  <si>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</si>
  <si>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</si>
  <si>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</si>
  <si>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</si>
  <si>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</si>
  <si>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</si>
  <si>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</si>
  <si>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</si>
  <si>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</si>
  <si>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</si>
  <si>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</si>
  <si>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</si>
  <si>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</si>
  <si>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</si>
  <si>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</si>
  <si>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</si>
  <si>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</si>
  <si>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</si>
  <si>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</si>
  <si>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</si>
  <si>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</si>
  <si>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</si>
  <si>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</si>
  <si>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</si>
  <si>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</si>
  <si>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</si>
  <si>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</si>
  <si>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</si>
  <si>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</si>
  <si>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</si>
  <si>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</si>
  <si>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</si>
  <si>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</si>
  <si>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</si>
  <si>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</si>
  <si>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</si>
  <si>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</si>
  <si>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</si>
  <si>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</si>
  <si>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</si>
  <si>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</si>
  <si>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</si>
  <si>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</si>
  <si>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</si>
  <si>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</si>
  <si>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</si>
  <si>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</si>
  <si>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</si>
  <si>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</si>
  <si>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</si>
  <si>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</si>
  <si>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</si>
  <si>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</si>
  <si>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</si>
  <si>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</si>
  <si>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</si>
  <si>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</si>
  <si>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</si>
  <si>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</si>
  <si>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</si>
  <si>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</si>
  <si>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</si>
  <si>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</si>
  <si>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</si>
  <si>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</si>
  <si>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</si>
  <si>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</si>
  <si>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</si>
  <si>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</si>
  <si>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</si>
  <si>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</si>
  <si>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</si>
  <si>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</si>
  <si>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</si>
  <si>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</si>
  <si>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</si>
  <si>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</si>
  <si>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</si>
  <si>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</si>
  <si>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</si>
  <si>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</si>
  <si>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</si>
  <si>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</si>
  <si>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</si>
  <si>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</si>
  <si>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</si>
  <si>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</si>
  <si>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</si>
  <si>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</si>
  <si>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</si>
  <si>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</si>
  <si>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</si>
  <si>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</si>
  <si>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</si>
  <si>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</si>
  <si>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</si>
  <si>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</si>
  <si>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</si>
  <si>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</si>
  <si>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</si>
  <si>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</si>
  <si>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</si>
  <si>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</si>
  <si>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</si>
  <si>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</si>
  <si>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</si>
  <si>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</si>
  <si>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</si>
  <si>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</si>
  <si>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</si>
  <si>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</si>
  <si>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</si>
  <si>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</si>
  <si>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</si>
  <si>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</si>
  <si>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</si>
  <si>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</si>
  <si>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</si>
  <si>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</si>
  <si>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</si>
  <si>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</si>
  <si>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</si>
  <si>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</si>
  <si>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</si>
  <si>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</si>
  <si>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</si>
  <si>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</si>
  <si>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</si>
  <si>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</si>
  <si>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</si>
  <si>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</si>
  <si>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</si>
  <si>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</si>
  <si>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</si>
  <si>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</si>
  <si>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</si>
  <si>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</si>
  <si>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</si>
  <si>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</si>
  <si>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</si>
  <si>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</si>
  <si>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</si>
  <si>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</si>
  <si>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</si>
  <si>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</si>
  <si>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</si>
  <si>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</si>
  <si>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</si>
  <si>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</si>
  <si>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</si>
  <si>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</si>
  <si>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</si>
  <si>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</si>
  <si>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</si>
  <si>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</si>
  <si>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</si>
  <si>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</si>
  <si>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</si>
  <si>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</si>
  <si>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</si>
  <si>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</si>
  <si>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</si>
  <si>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</si>
  <si>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</si>
  <si>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</si>
  <si>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</si>
  <si>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</si>
  <si>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</si>
  <si>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</si>
  <si>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</si>
  <si>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</si>
  <si>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</si>
  <si>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</si>
  <si>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</si>
  <si>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</si>
  <si>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</si>
  <si>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</si>
  <si>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</si>
  <si>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</si>
  <si>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</si>
  <si>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</si>
  <si>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</si>
  <si>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</si>
  <si>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</si>
  <si>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</si>
  <si>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</si>
  <si>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</si>
  <si>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</si>
  <si>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</si>
  <si>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</si>
  <si>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</si>
  <si>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</si>
  <si>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</si>
  <si>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</si>
  <si>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</si>
  <si>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</si>
  <si>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</si>
  <si>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</si>
  <si>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</si>
  <si>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</si>
  <si>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</si>
  <si>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</si>
  <si>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</si>
  <si>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</si>
  <si>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</si>
  <si>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</si>
  <si>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</si>
  <si>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</si>
  <si>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</si>
  <si>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</si>
  <si>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</si>
  <si>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</si>
  <si>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</si>
  <si>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</si>
  <si>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</si>
  <si>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</si>
  <si>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</si>
  <si>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</si>
  <si>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</si>
  <si>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</si>
  <si>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</si>
  <si>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</si>
  <si>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</si>
  <si>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</si>
  <si>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</si>
  <si>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</si>
  <si>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</si>
  <si>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</si>
  <si>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</si>
  <si>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</si>
  <si>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</si>
  <si>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</si>
  <si>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</si>
  <si>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</si>
  <si>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</si>
  <si>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</si>
  <si>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</si>
  <si>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</si>
  <si>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</si>
  <si>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</si>
  <si>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</si>
  <si>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</si>
  <si>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</si>
  <si>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</si>
  <si>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</si>
  <si>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</si>
  <si>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</si>
  <si>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</si>
  <si>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</si>
  <si>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</si>
  <si>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</si>
  <si>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</si>
  <si>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</si>
  <si>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</si>
  <si>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</si>
  <si>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</si>
  <si>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</si>
  <si>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</si>
  <si>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</si>
  <si>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</si>
  <si>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</si>
  <si>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</si>
  <si>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</si>
  <si>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</si>
  <si>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</si>
  <si>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</si>
  <si>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</si>
  <si>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</si>
  <si>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</si>
  <si>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</si>
  <si>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</si>
  <si>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</si>
  <si>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</si>
  <si>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</si>
  <si>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</si>
  <si>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</si>
  <si>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</si>
  <si>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</si>
  <si>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</si>
  <si>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</si>
  <si>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</si>
  <si>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</si>
  <si>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</si>
  <si>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</si>
  <si>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</si>
  <si>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</si>
  <si>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</si>
  <si>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</si>
  <si>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</si>
  <si>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</si>
  <si>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</si>
  <si>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</si>
  <si>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</si>
  <si>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</si>
  <si>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</si>
  <si>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</si>
  <si>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</si>
  <si>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</si>
  <si>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</si>
  <si>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</si>
  <si>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</si>
  <si>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</si>
  <si>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</si>
  <si>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</si>
  <si>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</si>
  <si>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</si>
  <si>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</si>
  <si>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</si>
  <si>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</si>
  <si>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</si>
  <si>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</si>
  <si>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</si>
  <si>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</si>
  <si>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</si>
  <si>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</si>
  <si>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</si>
  <si>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</si>
  <si>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</si>
  <si>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</si>
  <si>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</si>
  <si>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</si>
  <si>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</si>
  <si>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</si>
  <si>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</si>
  <si>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</si>
  <si>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</si>
  <si>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</si>
  <si>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</si>
  <si>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</si>
  <si>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</si>
  <si>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</si>
  <si>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</si>
  <si>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</si>
  <si>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</si>
  <si>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</si>
  <si>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</si>
  <si>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</si>
  <si>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</si>
  <si>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</si>
  <si>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</si>
  <si>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</si>
  <si>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</si>
  <si>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</si>
  <si>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</si>
  <si>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</si>
  <si>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</si>
  <si>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</si>
  <si>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</si>
  <si>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</si>
  <si>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</si>
  <si>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</si>
  <si>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</si>
  <si>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</si>
  <si>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</si>
  <si>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</si>
  <si>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</si>
  <si>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</si>
  <si>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</si>
  <si>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</si>
  <si>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</si>
  <si>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</si>
  <si>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</si>
  <si>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</si>
  <si>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</si>
  <si>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</si>
  <si>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</si>
  <si>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</si>
  <si>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</si>
  <si>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</si>
  <si>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</si>
  <si>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</si>
  <si>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</si>
  <si>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</si>
  <si>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</si>
  <si>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</si>
  <si>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</si>
  <si>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</si>
  <si>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</si>
  <si>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</si>
  <si>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</si>
  <si>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</si>
  <si>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</si>
  <si>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</si>
  <si>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</si>
  <si>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</si>
  <si>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</si>
  <si>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</si>
  <si>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</si>
  <si>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</si>
  <si>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</si>
  <si>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</si>
  <si>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</si>
  <si>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</si>
  <si>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</si>
  <si>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</si>
  <si>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</si>
  <si>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</si>
  <si>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</si>
  <si>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</si>
  <si>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</si>
  <si>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</si>
  <si>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</si>
  <si>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</si>
  <si>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</si>
  <si>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</si>
  <si>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</si>
  <si>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</si>
  <si>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</si>
  <si>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</si>
  <si>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</si>
  <si>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</si>
  <si>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</si>
  <si>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</si>
  <si>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</si>
  <si>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</si>
  <si>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</si>
  <si>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</si>
  <si>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</si>
  <si>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</si>
  <si>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</si>
  <si>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</si>
  <si>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</si>
  <si>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</si>
  <si>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</si>
  <si>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</si>
  <si>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</si>
  <si>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</si>
  <si>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</si>
  <si>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</si>
  <si>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</si>
  <si>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</si>
  <si>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</si>
  <si>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</si>
  <si>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</si>
  <si>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</si>
  <si>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</si>
  <si>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</si>
  <si>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</si>
  <si>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</si>
  <si>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</si>
  <si>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</si>
  <si>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</si>
  <si>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</si>
  <si>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</si>
  <si>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</si>
  <si>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</si>
  <si>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</si>
  <si>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</si>
  <si>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</si>
  <si>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</si>
  <si>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</si>
  <si>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</si>
  <si>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</si>
  <si>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</si>
  <si>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</si>
  <si>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</si>
  <si>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</si>
  <si>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</si>
  <si>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</si>
  <si>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</si>
  <si>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</si>
  <si>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</si>
  <si>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</si>
  <si>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</si>
  <si>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</si>
  <si>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</si>
  <si>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</si>
  <si>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</si>
  <si>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</si>
  <si>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</si>
  <si>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</si>
  <si>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</si>
  <si>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</si>
  <si>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</si>
  <si>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</si>
  <si>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</si>
  <si>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</si>
  <si>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</si>
  <si>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</si>
  <si>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</si>
  <si>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</si>
  <si>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</si>
  <si>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</si>
  <si>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</si>
  <si>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</si>
  <si>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</si>
  <si>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</si>
  <si>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</si>
  <si>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</si>
  <si>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</si>
  <si>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</si>
  <si>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</si>
  <si>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</si>
  <si>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</si>
  <si>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</si>
  <si>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</si>
  <si>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</si>
  <si>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</si>
  <si>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</si>
  <si>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</si>
  <si>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</si>
  <si>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</si>
  <si>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</si>
  <si>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</si>
  <si>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</si>
  <si>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</si>
  <si>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</si>
  <si>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</si>
  <si>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</si>
  <si>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</si>
  <si>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</si>
  <si>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</si>
  <si>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</si>
  <si>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</si>
  <si>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</si>
  <si>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</si>
  <si>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</si>
  <si>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</si>
  <si>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</si>
  <si>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</si>
  <si>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</si>
  <si>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</si>
  <si>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</si>
  <si>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</si>
  <si>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</si>
  <si>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</si>
  <si>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</si>
  <si>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</si>
  <si>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</si>
  <si>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</si>
  <si>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</si>
  <si>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</si>
  <si>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</si>
  <si>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</si>
  <si>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</si>
  <si>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</si>
  <si>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</si>
  <si>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</si>
  <si>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</si>
  <si>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</si>
  <si>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</si>
  <si>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</si>
  <si>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</si>
  <si>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</si>
  <si>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</si>
  <si>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</si>
  <si>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</si>
  <si>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</si>
  <si>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</si>
  <si>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</si>
  <si>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</si>
  <si>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</si>
  <si>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</si>
  <si>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</si>
  <si>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</si>
  <si>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</si>
  <si>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</si>
  <si>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</si>
  <si>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</si>
  <si>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</si>
  <si>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</si>
  <si>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</si>
  <si>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</si>
  <si>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</si>
  <si>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</si>
  <si>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</si>
  <si>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</si>
  <si>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</si>
  <si>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</si>
  <si>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</si>
  <si>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</si>
  <si>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</si>
  <si>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</si>
  <si>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</si>
  <si>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</si>
  <si>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</si>
  <si>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</si>
  <si>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</si>
  <si>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</si>
  <si>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</si>
  <si>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</si>
  <si>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</si>
  <si>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</si>
  <si>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</si>
  <si>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</si>
  <si>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</si>
  <si>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</si>
  <si>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</si>
  <si>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</si>
  <si>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</si>
  <si>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</si>
  <si>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</si>
  <si>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</si>
  <si>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</si>
  <si>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</si>
  <si>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</si>
  <si>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</si>
  <si>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</si>
  <si>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</si>
  <si>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</si>
  <si>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</si>
  <si>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</si>
  <si>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</si>
  <si>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</si>
  <si>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</si>
  <si>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</si>
  <si>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</si>
  <si>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</si>
  <si>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</si>
  <si>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</si>
  <si>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</si>
  <si>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</si>
  <si>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</si>
  <si>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</si>
  <si>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</si>
  <si>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</si>
  <si>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</si>
  <si>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</si>
  <si>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</si>
  <si>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</si>
  <si>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</si>
  <si>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</si>
  <si>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</si>
  <si>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</si>
  <si>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</si>
  <si>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</si>
  <si>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</si>
  <si>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</si>
  <si>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</si>
  <si>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</si>
  <si>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</si>
  <si>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</si>
  <si>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</si>
  <si>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</si>
  <si>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</si>
  <si>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</si>
  <si>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</si>
  <si>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</si>
  <si>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</si>
  <si>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</si>
  <si>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</si>
  <si>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</si>
  <si>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</si>
  <si>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</si>
  <si>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</si>
  <si>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</si>
  <si>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</si>
  <si>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</si>
  <si>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</si>
  <si>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</si>
  <si>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</si>
  <si>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</si>
  <si>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</si>
  <si>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</si>
  <si>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</si>
  <si>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</si>
  <si>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</si>
  <si>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</si>
  <si>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</si>
  <si>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</si>
  <si>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</si>
  <si>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</si>
  <si>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</si>
  <si>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</si>
  <si>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</si>
  <si>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</si>
  <si>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</si>
  <si>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</si>
  <si>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</si>
  <si>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</si>
  <si>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</si>
  <si>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</si>
  <si>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</si>
  <si>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</si>
  <si>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</si>
  <si>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</si>
  <si>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</si>
  <si>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</si>
  <si>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</si>
  <si>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</si>
  <si>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</si>
  <si>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</si>
  <si>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</si>
  <si>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</si>
  <si>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</si>
  <si>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</si>
  <si>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</si>
  <si>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</si>
  <si>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</si>
  <si>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</si>
  <si>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</si>
  <si>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</si>
  <si>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</si>
  <si>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</si>
  <si>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</si>
  <si>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</si>
  <si>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</si>
  <si>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</si>
  <si>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</si>
  <si>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</si>
  <si>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</si>
  <si>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</si>
  <si>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</si>
  <si>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</si>
  <si>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</si>
  <si>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</si>
  <si>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</si>
  <si>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</si>
  <si>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</si>
  <si>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</si>
  <si>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</si>
  <si>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</si>
  <si>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</si>
  <si>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</si>
  <si>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</si>
  <si>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</si>
  <si>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</si>
  <si>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</si>
  <si>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</si>
  <si>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</si>
  <si>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</si>
  <si>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</si>
  <si>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</si>
  <si>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</si>
  <si>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</si>
  <si>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</si>
  <si>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</si>
  <si>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</si>
  <si>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</si>
  <si>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</si>
  <si>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</si>
  <si>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</si>
  <si>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</si>
  <si>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</si>
  <si>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</si>
  <si>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</si>
  <si>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</si>
  <si>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</si>
  <si>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</si>
  <si>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</si>
  <si>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</si>
  <si>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</si>
  <si>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</si>
  <si>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</si>
  <si>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</si>
  <si>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</si>
  <si>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</si>
  <si>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</si>
  <si>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</si>
  <si>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</si>
  <si>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</si>
  <si>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</si>
  <si>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</si>
  <si>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</si>
  <si>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</si>
  <si>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</si>
  <si>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</si>
  <si>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</si>
  <si>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</si>
  <si>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</si>
  <si>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</si>
  <si>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</si>
  <si>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</si>
  <si>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</si>
  <si>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</si>
  <si>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</si>
  <si>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</si>
  <si>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</si>
  <si>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</si>
  <si>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</si>
  <si>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</si>
  <si>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</si>
  <si>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</si>
  <si>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</si>
  <si>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</si>
  <si>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</si>
  <si>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</si>
  <si>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</si>
  <si>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</si>
  <si>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</si>
  <si>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</si>
  <si>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</si>
  <si>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</si>
  <si>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</si>
  <si>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</si>
  <si>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</si>
  <si>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</si>
  <si>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</si>
  <si>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</si>
  <si>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</si>
  <si>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</si>
  <si>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</si>
  <si>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</si>
  <si>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</si>
  <si>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</si>
  <si>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</si>
  <si>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</si>
  <si>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</si>
  <si>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</si>
  <si>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</si>
  <si>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</si>
  <si>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</si>
  <si>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</si>
  <si>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</si>
  <si>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</si>
  <si>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</si>
  <si>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</si>
  <si>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</si>
  <si>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</si>
  <si>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</si>
  <si>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</si>
  <si>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</si>
  <si>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</si>
  <si>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</si>
  <si>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</si>
  <si>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</si>
  <si>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</si>
  <si>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</si>
  <si>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</si>
  <si>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</si>
  <si>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</si>
  <si>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</si>
  <si>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</si>
  <si>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</si>
  <si>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</si>
  <si>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</si>
  <si>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</si>
  <si>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</si>
  <si>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</si>
  <si>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</si>
  <si>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</si>
  <si>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</si>
  <si>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</si>
  <si>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</si>
  <si>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</si>
  <si>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</si>
  <si>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</si>
  <si>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</si>
  <si>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</si>
  <si>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</si>
  <si>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</si>
  <si>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</si>
  <si>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</si>
  <si>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</si>
  <si>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</si>
  <si>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</si>
  <si>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</si>
  <si>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</si>
  <si>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</si>
  <si>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</si>
  <si>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</si>
  <si>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</si>
  <si>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</si>
  <si>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</si>
  <si>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</si>
  <si>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</si>
  <si>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</si>
  <si>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</si>
  <si>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</si>
  <si>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</si>
  <si>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</si>
  <si>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</si>
  <si>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</si>
  <si>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</si>
  <si>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</si>
  <si>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</si>
  <si>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</si>
  <si>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</si>
  <si>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</si>
  <si>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</si>
  <si>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</si>
  <si>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</si>
  <si>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</si>
  <si>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</si>
  <si>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</si>
  <si>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</si>
  <si>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</si>
  <si>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</si>
  <si>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</si>
  <si>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</si>
  <si>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</si>
  <si>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</si>
  <si>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</si>
  <si>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</si>
  <si>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</si>
  <si>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</si>
  <si>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</si>
  <si>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</si>
  <si>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</si>
  <si>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</si>
  <si>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</si>
  <si>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</si>
  <si>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</si>
  <si>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</si>
  <si>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</si>
  <si>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</si>
  <si>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</si>
  <si>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</si>
  <si>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</si>
  <si>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</si>
  <si>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</si>
  <si>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</si>
  <si>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</si>
  <si>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</si>
  <si>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</si>
  <si>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</si>
  <si>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</si>
  <si>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</si>
  <si>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</si>
  <si>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</si>
  <si>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</si>
  <si>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</si>
  <si>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</si>
  <si>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</si>
  <si>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</si>
  <si>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</si>
  <si>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</si>
  <si>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</si>
  <si>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</si>
  <si>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</si>
  <si>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</si>
  <si>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</si>
  <si>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</si>
  <si>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</si>
  <si>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</si>
  <si>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</si>
  <si>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</si>
  <si>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</si>
  <si>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</si>
  <si>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</si>
  <si>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</si>
  <si>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</si>
  <si>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</si>
  <si>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</si>
  <si>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</si>
  <si>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</si>
  <si>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</si>
  <si>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</si>
  <si>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</si>
  <si>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</si>
  <si>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</si>
  <si>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</si>
  <si>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</si>
  <si>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</si>
  <si>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</si>
  <si>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</si>
  <si>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</si>
  <si>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</si>
  <si>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</si>
  <si>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</si>
  <si>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</si>
  <si>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</si>
  <si>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</si>
  <si>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</si>
  <si>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</si>
  <si>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</si>
  <si>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</si>
  <si>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</si>
  <si>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</si>
  <si>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</si>
  <si>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</si>
  <si>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</si>
  <si>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</si>
  <si>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</si>
  <si>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</si>
  <si>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</si>
  <si>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</si>
  <si>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</si>
  <si>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</si>
  <si>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</si>
  <si>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</si>
  <si>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</si>
  <si>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</si>
  <si>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</si>
  <si>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</si>
  <si>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</si>
  <si>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</si>
  <si>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</si>
  <si>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</si>
  <si>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</si>
  <si>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</si>
  <si>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</si>
  <si>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</si>
  <si>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</si>
  <si>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</si>
  <si>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</si>
  <si>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</si>
  <si>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</si>
  <si>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</si>
  <si>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</si>
  <si>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</si>
  <si>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</si>
  <si>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</si>
  <si>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</si>
  <si>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</si>
  <si>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</si>
  <si>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</si>
  <si>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</si>
  <si>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</si>
  <si>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</si>
  <si>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</si>
  <si>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</si>
  <si>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</si>
  <si>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</si>
  <si>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</si>
  <si>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</si>
  <si>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</si>
  <si>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</si>
  <si>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</si>
  <si>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</si>
  <si>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</si>
  <si>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</si>
  <si>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</si>
  <si>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</si>
  <si>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</si>
  <si>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</si>
  <si>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</si>
  <si>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</si>
  <si>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</si>
  <si>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</si>
  <si>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</si>
  <si>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</si>
  <si>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</si>
  <si>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</si>
  <si>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</si>
  <si>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</si>
  <si>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</si>
  <si>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</si>
  <si>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</si>
  <si>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</si>
  <si>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</si>
  <si>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</si>
  <si>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</si>
  <si>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</si>
  <si>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</si>
  <si>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</si>
  <si>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</si>
  <si>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</si>
  <si>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</si>
  <si>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</si>
  <si>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</si>
  <si>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</si>
  <si>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</si>
  <si>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</si>
  <si>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</si>
  <si>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</si>
  <si>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</si>
  <si>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</si>
  <si>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</si>
  <si>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</si>
  <si>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</si>
  <si>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</si>
  <si>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</si>
  <si>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</si>
  <si>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</si>
  <si>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</si>
  <si>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</si>
  <si>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</si>
  <si>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</si>
  <si>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</si>
  <si>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</si>
  <si>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</si>
  <si>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</si>
  <si>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</si>
  <si>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</si>
  <si>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</si>
  <si>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</si>
  <si>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</si>
  <si>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</si>
  <si>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</si>
  <si>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</si>
  <si>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</si>
  <si>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</si>
  <si>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</si>
  <si>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</si>
  <si>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</si>
  <si>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</si>
  <si>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</si>
  <si>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</si>
  <si>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</si>
  <si>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</si>
  <si>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</si>
  <si>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</si>
  <si>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</si>
  <si>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</si>
  <si>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</si>
  <si>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</si>
  <si>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</si>
  <si>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</si>
  <si>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</si>
  <si>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</si>
  <si>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</si>
  <si>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</si>
  <si>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</si>
  <si>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</si>
  <si>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</si>
  <si>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</si>
  <si>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</si>
  <si>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</si>
  <si>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</si>
  <si>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</si>
  <si>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</si>
  <si>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</si>
  <si>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</si>
  <si>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</si>
  <si>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</si>
  <si>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</si>
  <si>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</si>
  <si>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</si>
  <si>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</si>
  <si>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</si>
  <si>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</si>
  <si>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</si>
  <si>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</si>
  <si>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</si>
  <si>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</si>
  <si>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</si>
  <si>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</si>
  <si>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</si>
  <si>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</si>
  <si>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</si>
  <si>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</si>
  <si>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</si>
  <si>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</si>
  <si>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</si>
  <si>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</si>
  <si>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</si>
  <si>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</si>
  <si>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</si>
  <si>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</si>
  <si>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</si>
  <si>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</si>
  <si>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</si>
  <si>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</si>
  <si>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</si>
  <si>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</si>
  <si>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</si>
  <si>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</si>
  <si>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</si>
  <si>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</si>
  <si>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</si>
  <si>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</si>
  <si>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</si>
  <si>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</si>
  <si>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</si>
  <si>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</si>
  <si>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</si>
  <si>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</si>
  <si>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</si>
  <si>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</si>
  <si>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</si>
  <si>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</si>
  <si>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</si>
  <si>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</si>
  <si>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</si>
  <si>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</si>
  <si>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</si>
  <si>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</si>
  <si>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</si>
  <si>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</si>
  <si>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</si>
  <si>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</si>
  <si>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</si>
  <si>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</si>
  <si>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</si>
  <si>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</si>
  <si>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</si>
  <si>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</si>
  <si>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</si>
  <si>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</si>
  <si>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</si>
  <si>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</si>
  <si>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</si>
  <si>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</si>
  <si>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</si>
  <si>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</si>
  <si>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</si>
  <si>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</si>
  <si>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</si>
  <si>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</si>
  <si>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</si>
  <si>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</si>
  <si>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</si>
  <si>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</si>
  <si>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</si>
  <si>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</si>
  <si>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</si>
  <si>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</si>
  <si>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</si>
  <si>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</si>
  <si>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</si>
  <si>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</si>
  <si>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</si>
  <si>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</si>
  <si>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</si>
  <si>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</si>
  <si>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</si>
  <si>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</si>
  <si>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</si>
  <si>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</si>
  <si>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</si>
  <si>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</si>
  <si>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</si>
  <si>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</si>
  <si>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</si>
  <si>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</si>
  <si>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</si>
  <si>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</si>
  <si>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</si>
  <si>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</si>
  <si>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</si>
  <si>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</si>
  <si>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</si>
  <si>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</si>
  <si>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</si>
  <si>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</si>
  <si>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</si>
  <si>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</si>
  <si>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</si>
  <si>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</si>
  <si>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</si>
  <si>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</si>
  <si>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</si>
  <si>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</si>
  <si>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</si>
  <si>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</si>
  <si>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</si>
  <si>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</si>
  <si>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</si>
  <si>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</si>
  <si>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</si>
  <si>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</si>
  <si>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</si>
  <si>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</si>
  <si>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</si>
  <si>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</si>
  <si>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</si>
  <si>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</si>
  <si>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</si>
  <si>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</si>
  <si>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</si>
  <si>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</si>
  <si>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</si>
  <si>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</si>
  <si>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</si>
  <si>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</si>
  <si>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</si>
  <si>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</si>
  <si>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</si>
  <si>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</si>
  <si>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</si>
  <si>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</si>
  <si>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</si>
  <si>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</si>
  <si>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</si>
  <si>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</si>
  <si>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</si>
  <si>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</si>
  <si>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</si>
  <si>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</si>
  <si>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</si>
  <si>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</si>
  <si>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</si>
  <si>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</si>
  <si>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</si>
  <si>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</si>
  <si>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</si>
  <si>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</si>
  <si>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</si>
  <si>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</si>
  <si>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</si>
  <si>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</si>
  <si>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</si>
  <si>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</si>
  <si>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</si>
  <si>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</si>
  <si>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</si>
  <si>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</si>
  <si>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</si>
  <si>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</si>
  <si>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</si>
  <si>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</si>
  <si>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</si>
  <si>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</si>
  <si>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</si>
  <si>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</si>
  <si>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</si>
  <si>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</si>
  <si>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</si>
  <si>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</si>
  <si>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</si>
  <si>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</si>
  <si>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</si>
  <si>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</si>
  <si>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</si>
  <si>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</si>
  <si>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</si>
  <si>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</si>
  <si>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</si>
  <si>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</si>
  <si>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</si>
  <si>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</si>
  <si>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</si>
  <si>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</si>
  <si>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</si>
  <si>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</si>
  <si>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</si>
  <si>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</si>
  <si>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</si>
  <si>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</si>
  <si>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</si>
  <si>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</si>
  <si>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</si>
  <si>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</si>
  <si>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</si>
  <si>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</si>
  <si>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</si>
  <si>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</si>
  <si>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</si>
  <si>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</si>
  <si>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</si>
  <si>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</si>
  <si>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</si>
  <si>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</si>
  <si>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</si>
  <si>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</si>
  <si>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</si>
  <si>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</si>
  <si>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</si>
  <si>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</si>
  <si>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</si>
  <si>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</si>
  <si>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</si>
  <si>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</si>
  <si>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</si>
  <si>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</si>
  <si>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</si>
  <si>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</si>
  <si>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</si>
  <si>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</si>
  <si>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</si>
  <si>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</si>
  <si>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</si>
  <si>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</si>
  <si>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</si>
  <si>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</si>
  <si>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</si>
  <si>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</si>
  <si>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</si>
  <si>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</si>
  <si>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</si>
  <si>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</si>
  <si>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</si>
  <si>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</si>
  <si>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</si>
  <si>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</si>
  <si>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</si>
  <si>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</si>
  <si>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</si>
  <si>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</si>
  <si>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</si>
  <si>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</si>
  <si>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</si>
  <si>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</si>
  <si>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</si>
  <si>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</si>
  <si>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</si>
  <si>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</si>
  <si>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</si>
  <si>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</si>
  <si>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</si>
  <si>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</si>
  <si>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</si>
  <si>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</si>
  <si>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</si>
  <si>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</si>
  <si>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</si>
  <si>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</si>
  <si>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</si>
  <si>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</si>
  <si>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</si>
  <si>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</si>
  <si>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</si>
  <si>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</si>
  <si>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</si>
  <si>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</si>
  <si>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</si>
  <si>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</si>
  <si>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</si>
  <si>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</si>
  <si>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</si>
  <si>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</si>
  <si>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</si>
  <si>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</si>
  <si>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</si>
  <si>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</si>
  <si>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</si>
  <si>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</si>
  <si>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</si>
  <si>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</si>
  <si>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</si>
  <si>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</si>
  <si>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</si>
  <si>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</si>
  <si>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</si>
  <si>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</si>
  <si>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</si>
  <si>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</si>
  <si>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</si>
  <si>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</si>
  <si>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</si>
  <si>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</si>
  <si>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</si>
  <si>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</si>
  <si>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</si>
  <si>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</si>
  <si>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</si>
  <si>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</si>
  <si>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</si>
  <si>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</si>
  <si>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</si>
  <si>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</si>
  <si>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</si>
  <si>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</si>
  <si>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</si>
  <si>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</si>
  <si>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</si>
  <si>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</si>
  <si>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</si>
  <si>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</si>
  <si>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</si>
  <si>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</si>
  <si>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</si>
  <si>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</si>
  <si>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</si>
  <si>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</si>
  <si>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</si>
  <si>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</si>
  <si>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</si>
  <si>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</si>
  <si>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</si>
  <si>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</si>
  <si>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</si>
  <si>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</si>
  <si>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</si>
  <si>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</si>
  <si>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</si>
  <si>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</si>
  <si>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</si>
  <si>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</si>
  <si>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</si>
  <si>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</si>
  <si>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</si>
  <si>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</si>
  <si>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</si>
  <si>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</si>
  <si>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</si>
  <si>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</si>
  <si>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</si>
  <si>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</si>
  <si>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</si>
  <si>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</si>
  <si>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</si>
  <si>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</si>
  <si>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</si>
  <si>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</si>
  <si>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</si>
  <si>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</si>
  <si>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</si>
  <si>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</si>
  <si>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</si>
  <si>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</si>
  <si>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</si>
  <si>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</si>
  <si>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</si>
  <si>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</si>
  <si>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</si>
  <si>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</si>
  <si>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</si>
  <si>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</si>
  <si>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</si>
  <si>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</si>
  <si>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</si>
  <si>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</si>
  <si>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</si>
  <si>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</si>
  <si>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</si>
  <si>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</si>
  <si>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</si>
  <si>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</si>
  <si>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</si>
  <si>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</si>
  <si>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</si>
  <si>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</si>
  <si>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</si>
  <si>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</si>
  <si>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</si>
  <si>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</si>
  <si>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</si>
  <si>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</si>
  <si>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</si>
  <si>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</si>
  <si>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</si>
  <si>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</si>
  <si>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</si>
  <si>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</si>
  <si>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</si>
  <si>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</si>
  <si>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</si>
  <si>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</si>
  <si>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</si>
  <si>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</si>
  <si>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</si>
  <si>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</si>
  <si>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</si>
  <si>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</si>
  <si>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</si>
  <si>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</si>
  <si>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</si>
  <si>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</si>
  <si>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</si>
  <si>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</si>
  <si>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</si>
  <si>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</si>
  <si>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</si>
  <si>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</si>
  <si>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</si>
  <si>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</si>
  <si>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</si>
  <si>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</si>
  <si>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</si>
  <si>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</si>
  <si>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</si>
  <si>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</si>
  <si>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</si>
  <si>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</si>
  <si>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</si>
  <si>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</si>
  <si>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</si>
  <si>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</si>
  <si>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</si>
  <si>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</si>
  <si>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</si>
  <si>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</si>
  <si>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</si>
  <si>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</si>
  <si>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</si>
  <si>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</si>
  <si>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</si>
  <si>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</si>
  <si>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</si>
  <si>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</si>
  <si>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</si>
  <si>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</si>
  <si>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</si>
  <si>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</si>
  <si>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</si>
  <si>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</si>
  <si>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</si>
  <si>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</si>
  <si>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</si>
  <si>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</si>
  <si>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</si>
  <si>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</si>
  <si>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</si>
  <si>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</si>
  <si>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</si>
  <si>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</si>
  <si>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</si>
  <si>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</si>
  <si>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</si>
  <si>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</si>
  <si>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</si>
  <si>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</si>
  <si>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</si>
  <si>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</si>
  <si>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</si>
  <si>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</si>
  <si>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</si>
  <si>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</si>
  <si>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</si>
  <si>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</si>
  <si>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</si>
  <si>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</si>
  <si>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</si>
  <si>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</si>
  <si>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</si>
  <si>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</si>
  <si>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</si>
  <si>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</si>
  <si>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</si>
  <si>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</si>
  <si>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</si>
  <si>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</si>
  <si>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</si>
  <si>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</si>
  <si>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</si>
  <si>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</si>
  <si>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</si>
  <si>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</si>
  <si>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</si>
  <si>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</si>
  <si>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</si>
  <si>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</si>
  <si>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</si>
  <si>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</si>
  <si>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</si>
  <si>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</si>
  <si>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</si>
  <si>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</si>
  <si>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</si>
  <si>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</si>
  <si>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</si>
  <si>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</si>
  <si>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</si>
  <si>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</si>
  <si>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</si>
  <si>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</si>
  <si>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</si>
  <si>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</si>
  <si>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</si>
  <si>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</si>
  <si>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</si>
  <si>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</si>
  <si>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</si>
  <si>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</si>
  <si>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</si>
  <si>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</si>
  <si>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</si>
  <si>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</si>
  <si>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</si>
  <si>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</si>
  <si>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</si>
  <si>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</si>
  <si>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</si>
  <si>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</si>
  <si>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</si>
  <si>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</si>
  <si>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</si>
  <si>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</si>
  <si>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</si>
  <si>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</si>
  <si>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</si>
  <si>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</si>
  <si>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</si>
  <si>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</si>
  <si>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</si>
  <si>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</si>
  <si>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</si>
  <si>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</si>
  <si>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</si>
  <si>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</si>
  <si>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</si>
  <si>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</si>
  <si>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</si>
  <si>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</si>
  <si>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</si>
  <si>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</si>
  <si>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</si>
  <si>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</si>
  <si>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</si>
  <si>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</si>
  <si>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</si>
  <si>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</si>
  <si>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</si>
  <si>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</si>
  <si>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</si>
  <si>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</si>
  <si>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</si>
  <si>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</si>
  <si>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</si>
  <si>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</si>
  <si>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</si>
  <si>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</si>
  <si>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</si>
  <si>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</si>
  <si>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</si>
  <si>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</si>
  <si>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</si>
  <si>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</si>
  <si>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</si>
  <si>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</si>
  <si>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</si>
  <si>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</si>
  <si>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</si>
  <si>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</si>
  <si>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</si>
  <si>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</si>
  <si>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</si>
  <si>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</si>
  <si>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</si>
  <si>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</si>
  <si>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</si>
  <si>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</si>
  <si>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</si>
  <si>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</si>
  <si>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</si>
  <si>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</si>
  <si>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</si>
  <si>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</si>
  <si>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</si>
  <si>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</si>
  <si>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</si>
  <si>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</si>
  <si>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</si>
  <si>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</si>
  <si>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</si>
  <si>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</si>
  <si>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</si>
  <si>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</si>
  <si>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</si>
  <si>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</si>
  <si>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</si>
  <si>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</si>
  <si>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</si>
  <si>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</si>
  <si>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</si>
  <si>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</si>
  <si>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</si>
  <si>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</si>
  <si>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</si>
  <si>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</si>
  <si>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</si>
  <si>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</si>
  <si>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</si>
  <si>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</si>
  <si>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</si>
  <si>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</si>
  <si>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</si>
  <si>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</si>
  <si>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</si>
  <si>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</si>
  <si>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</si>
  <si>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</si>
  <si>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</si>
  <si>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</si>
  <si>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</si>
  <si>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</si>
  <si>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</si>
  <si>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</si>
  <si>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</si>
  <si>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</si>
  <si>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</si>
  <si>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</si>
  <si>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</si>
  <si>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</si>
  <si>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</si>
  <si>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</si>
  <si>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</si>
  <si>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</si>
  <si>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</si>
  <si>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</si>
  <si>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</si>
  <si>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</si>
  <si>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</si>
  <si>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</si>
  <si>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</si>
  <si>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</si>
  <si>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</si>
  <si>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</si>
  <si>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</si>
  <si>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</si>
  <si>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</si>
  <si>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</si>
  <si>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</si>
  <si>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</si>
  <si>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</si>
  <si>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</si>
  <si>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</si>
  <si>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</si>
  <si>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</si>
  <si>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</si>
  <si>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</si>
  <si>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</si>
  <si>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</si>
  <si>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</si>
  <si>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</si>
  <si>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</si>
  <si>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</si>
  <si>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</si>
  <si>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</si>
  <si>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</si>
  <si>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</si>
  <si>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</si>
  <si>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</si>
  <si>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</si>
  <si>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</si>
  <si>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</si>
  <si>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</si>
  <si>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</si>
  <si>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</si>
  <si>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</si>
  <si>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</si>
  <si>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</si>
  <si>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</si>
  <si>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</si>
  <si>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</si>
  <si>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</si>
  <si>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</si>
  <si>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</si>
  <si>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</si>
  <si>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</si>
  <si>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</si>
  <si>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</si>
  <si>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</si>
  <si>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</si>
  <si>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</si>
  <si>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</si>
  <si>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</si>
  <si>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</si>
  <si>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</si>
  <si>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</si>
  <si>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</si>
  <si>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</si>
  <si>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</si>
  <si>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</si>
  <si>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</si>
  <si>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</si>
  <si>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</si>
  <si>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</si>
  <si>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</si>
  <si>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</si>
  <si>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</si>
  <si>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</si>
  <si>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</si>
  <si>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</si>
  <si>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</si>
  <si>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</si>
  <si>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</si>
  <si>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</si>
  <si>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</si>
  <si>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</si>
  <si>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</si>
  <si>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</si>
  <si>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</si>
  <si>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</si>
  <si>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</si>
  <si>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</si>
  <si>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</si>
  <si>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</si>
  <si>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</si>
  <si>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</si>
  <si>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</si>
  <si>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</si>
  <si>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</si>
  <si>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</si>
  <si>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</si>
  <si>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</si>
  <si>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</si>
  <si>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</si>
  <si>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</si>
  <si>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</si>
  <si>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</si>
  <si>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</si>
  <si>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</si>
  <si>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</si>
  <si>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</si>
  <si>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</si>
  <si>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</si>
  <si>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</si>
  <si>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</si>
  <si>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</si>
  <si>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</si>
  <si>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</si>
  <si>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</si>
  <si>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</si>
  <si>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</si>
  <si>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</si>
  <si>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</si>
  <si>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</si>
  <si>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</si>
  <si>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</si>
  <si>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</si>
  <si>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</si>
  <si>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</si>
  <si>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</si>
  <si>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</si>
  <si>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</si>
  <si>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</si>
  <si>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</si>
  <si>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</si>
  <si>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</si>
  <si>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</si>
  <si>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</si>
  <si>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</si>
  <si>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</si>
  <si>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</si>
  <si>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</si>
  <si>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</si>
  <si>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</si>
  <si>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</si>
  <si>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</si>
  <si>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</si>
  <si>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</si>
  <si>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</si>
  <si>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</si>
  <si>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</si>
  <si>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</si>
  <si>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</si>
  <si>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</si>
  <si>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</si>
  <si>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</si>
  <si>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</si>
  <si>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</si>
  <si>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</si>
  <si>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</si>
  <si>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</si>
  <si>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</si>
  <si>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</si>
  <si>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</si>
  <si>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</si>
  <si>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</si>
  <si>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</si>
  <si>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</si>
  <si>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</si>
  <si>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</si>
  <si>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</si>
  <si>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</si>
  <si>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</si>
  <si>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</si>
  <si>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</si>
  <si>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</si>
  <si>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</si>
  <si>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</si>
  <si>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</si>
  <si>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</si>
  <si>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</si>
  <si>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</si>
  <si>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</si>
  <si>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</si>
  <si>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</si>
  <si>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</si>
  <si>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</si>
  <si>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</si>
  <si>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</si>
  <si>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</si>
  <si>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</si>
  <si>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</si>
  <si>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</si>
  <si>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</si>
  <si>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</si>
  <si>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</si>
  <si>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</si>
  <si>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</si>
  <si>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</si>
  <si>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</si>
  <si>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</si>
  <si>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</si>
  <si>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</si>
  <si>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</si>
  <si>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</si>
  <si>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</si>
  <si>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</si>
  <si>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</si>
  <si>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</si>
  <si>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</si>
  <si>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</si>
  <si>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</si>
  <si>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</si>
  <si>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</si>
  <si>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</si>
  <si>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</si>
  <si>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</si>
  <si>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</si>
  <si>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</si>
  <si>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</si>
  <si>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</si>
  <si>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</si>
  <si>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</si>
  <si>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</si>
  <si>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</si>
  <si>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</si>
  <si>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</si>
  <si>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</si>
  <si>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</si>
  <si>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</si>
  <si>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</si>
  <si>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</si>
  <si>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</si>
  <si>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</si>
  <si>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</si>
  <si>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</si>
  <si>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</si>
  <si>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</si>
  <si>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</si>
  <si>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</si>
  <si>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</si>
  <si>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</si>
  <si>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</si>
  <si>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</si>
  <si>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</si>
  <si>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</si>
  <si>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</si>
  <si>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</si>
  <si>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</si>
  <si>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</si>
  <si>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</si>
  <si>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</si>
  <si>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</si>
  <si>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</si>
  <si>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</si>
  <si>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</si>
  <si>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</si>
  <si>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</si>
  <si>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</si>
  <si>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</si>
  <si>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</si>
  <si>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</si>
  <si>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</si>
  <si>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</si>
  <si>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</si>
  <si>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</si>
  <si>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</si>
  <si>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</si>
  <si>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</si>
  <si>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</si>
  <si>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</si>
  <si>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</si>
  <si>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</si>
  <si>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</si>
  <si>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</si>
  <si>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</si>
  <si>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</si>
  <si>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</si>
  <si>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</si>
  <si>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</si>
  <si>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</si>
  <si>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</si>
  <si>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</si>
  <si>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</si>
  <si>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</si>
  <si>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</si>
  <si>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</si>
  <si>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</si>
  <si>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</si>
  <si>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</si>
  <si>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</si>
  <si>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</si>
  <si>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</si>
  <si>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</si>
  <si>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</si>
  <si>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</si>
  <si>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</si>
  <si>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</si>
  <si>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</si>
  <si>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</si>
  <si>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</si>
  <si>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</si>
  <si>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</si>
  <si>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</si>
  <si>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</si>
  <si>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</si>
  <si>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</si>
  <si>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</si>
  <si>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</si>
  <si>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</si>
  <si>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</si>
  <si>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</si>
  <si>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</si>
  <si>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</si>
  <si>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</si>
  <si>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</si>
  <si>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</si>
  <si>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</si>
  <si>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</si>
  <si>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</si>
  <si>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</si>
  <si>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</si>
  <si>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</si>
  <si>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</si>
  <si>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</si>
  <si>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</si>
  <si>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</si>
  <si>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</si>
  <si>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</si>
  <si>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</si>
  <si>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</si>
  <si>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</si>
  <si>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</si>
  <si>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</si>
  <si>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</si>
  <si>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</si>
  <si>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</si>
  <si>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</si>
  <si>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</si>
  <si>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</si>
  <si>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</si>
  <si>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</si>
  <si>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</si>
  <si>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</si>
  <si>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</si>
  <si>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</si>
  <si>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</si>
  <si>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</si>
  <si>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</si>
  <si>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</si>
  <si>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</si>
  <si>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</si>
  <si>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</si>
  <si>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</si>
  <si>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</si>
  <si>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</si>
  <si>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</si>
  <si>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</si>
  <si>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</si>
  <si>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</si>
  <si>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</si>
  <si>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</si>
  <si>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</si>
  <si>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</si>
  <si>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</si>
  <si>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</si>
  <si>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</si>
  <si>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</si>
  <si>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</si>
  <si>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</si>
  <si>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</si>
  <si>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</si>
  <si>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</si>
  <si>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</si>
  <si>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</si>
  <si>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</si>
  <si>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</si>
  <si>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</si>
  <si>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</si>
  <si>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</si>
  <si>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</si>
  <si>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</si>
  <si>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</si>
  <si>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</si>
  <si>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</si>
  <si>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</si>
  <si>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</si>
  <si>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</si>
  <si>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</si>
  <si>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</si>
  <si>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</si>
  <si>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</si>
  <si>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</si>
  <si>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</si>
  <si>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</si>
  <si>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</si>
  <si>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</si>
  <si>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</si>
  <si>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</si>
  <si>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</si>
  <si>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</si>
  <si>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</si>
  <si>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</si>
  <si>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</si>
  <si>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</si>
  <si>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</si>
  <si>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</si>
  <si>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</si>
  <si>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</si>
  <si>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</si>
  <si>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</si>
  <si>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</si>
  <si>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</si>
  <si>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</si>
  <si>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</si>
  <si>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</si>
  <si>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</si>
  <si>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</si>
  <si>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</si>
  <si>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</si>
  <si>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</si>
  <si>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</si>
  <si>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</si>
  <si>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</si>
  <si>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</si>
  <si>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</si>
  <si>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</si>
  <si>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</si>
  <si>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</si>
  <si>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</si>
  <si>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</si>
  <si>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</si>
  <si>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</si>
  <si>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</si>
  <si>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</si>
  <si>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</si>
  <si>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</si>
  <si>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</si>
  <si>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</si>
  <si>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</si>
  <si>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</si>
  <si>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</si>
  <si>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</si>
  <si>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</si>
  <si>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</si>
  <si>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</si>
  <si>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</si>
  <si>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</si>
  <si>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</si>
  <si>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</si>
  <si>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</si>
  <si>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</si>
  <si>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</si>
  <si>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</si>
  <si>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</si>
  <si>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</si>
  <si>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</si>
  <si>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</si>
  <si>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</si>
  <si>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</si>
  <si>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</si>
  <si>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</si>
  <si>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</si>
  <si>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</si>
  <si>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</si>
  <si>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</si>
  <si>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</si>
  <si>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</si>
  <si>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</si>
  <si>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</si>
  <si>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</si>
  <si>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</si>
  <si>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</si>
  <si>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</si>
  <si>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</si>
  <si>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</si>
  <si>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</si>
  <si>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</si>
  <si>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</si>
  <si>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</si>
  <si>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</si>
  <si>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</si>
  <si>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</si>
  <si>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</si>
  <si>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</si>
  <si>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</si>
  <si>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</si>
  <si>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</si>
  <si>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</si>
  <si>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</si>
  <si>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</si>
  <si>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</si>
  <si>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</si>
  <si>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</si>
  <si>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</si>
  <si>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</si>
  <si>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</si>
  <si>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</si>
  <si>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</si>
  <si>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</si>
  <si>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</si>
  <si>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</si>
  <si>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</si>
  <si>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</si>
  <si>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</si>
  <si>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</si>
  <si>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</si>
  <si>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</si>
  <si>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</si>
  <si>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</si>
  <si>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</si>
  <si>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</si>
  <si>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</si>
  <si>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</si>
  <si>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</si>
  <si>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</si>
  <si>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</si>
  <si>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</si>
  <si>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</si>
  <si>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</si>
  <si>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</si>
  <si>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</si>
  <si>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</si>
  <si>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</si>
  <si>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</si>
  <si>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</si>
  <si>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</si>
  <si>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</si>
  <si>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</si>
  <si>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</si>
  <si>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</si>
  <si>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</si>
  <si>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</si>
  <si>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</si>
  <si>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</si>
  <si>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</si>
  <si>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</si>
  <si>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</si>
  <si>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</si>
  <si>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</si>
  <si>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</si>
  <si>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</si>
  <si>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</si>
  <si>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</si>
  <si>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</si>
  <si>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</si>
  <si>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</si>
  <si>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</si>
  <si>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</si>
  <si>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</si>
  <si>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</si>
  <si>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</si>
  <si>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</si>
  <si>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</si>
  <si>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</si>
  <si>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</si>
  <si>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</si>
  <si>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</si>
  <si>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</si>
  <si>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</si>
  <si>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</si>
  <si>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</si>
  <si>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</si>
  <si>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</si>
  <si>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</si>
  <si>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</si>
  <si>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</si>
  <si>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</si>
  <si>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</si>
  <si>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</si>
  <si>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</si>
  <si>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</si>
  <si>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</si>
  <si>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</si>
  <si>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</si>
  <si>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</si>
  <si>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</si>
  <si>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</si>
  <si>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</si>
  <si>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</si>
  <si>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</si>
  <si>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</si>
  <si>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</si>
  <si>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</si>
  <si>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</si>
  <si>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</si>
  <si>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</si>
  <si>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</si>
  <si>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</si>
  <si>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</si>
  <si>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</si>
  <si>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</si>
  <si>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</si>
  <si>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</si>
  <si>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</si>
  <si>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</si>
  <si>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</si>
  <si>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</si>
  <si>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</si>
  <si>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</si>
  <si>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</si>
  <si>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</si>
  <si>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</si>
  <si>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</si>
  <si>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</si>
  <si>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</si>
  <si>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</si>
  <si>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</si>
  <si>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</si>
  <si>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</si>
  <si>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</si>
  <si>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</si>
  <si>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</si>
  <si>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</si>
  <si>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</si>
  <si>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</si>
  <si>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</si>
  <si>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</si>
  <si>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</si>
  <si>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</si>
  <si>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</si>
  <si>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</si>
  <si>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</si>
  <si>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</si>
  <si>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</si>
  <si>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</si>
  <si>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</si>
  <si>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</si>
  <si>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</si>
  <si>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</si>
  <si>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</si>
  <si>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</si>
  <si>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</si>
  <si>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</si>
  <si>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</si>
  <si>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</si>
  <si>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</si>
  <si>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</si>
  <si>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</si>
  <si>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</si>
  <si>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</si>
  <si>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</si>
  <si>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</si>
  <si>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</si>
  <si>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</si>
  <si>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</si>
  <si>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</si>
  <si>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</si>
  <si>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</si>
  <si>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</si>
  <si>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</si>
  <si>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</si>
  <si>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</si>
  <si>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</si>
  <si>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</si>
  <si>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</si>
  <si>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</si>
  <si>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</si>
  <si>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</si>
  <si>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</si>
  <si>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</si>
  <si>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</si>
  <si>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</si>
  <si>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</si>
  <si>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</si>
  <si>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</si>
  <si>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</si>
  <si>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</si>
  <si>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</si>
  <si>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</si>
  <si>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</si>
  <si>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</si>
  <si>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</si>
  <si>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</si>
  <si>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</si>
  <si>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</si>
  <si>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</si>
  <si>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</si>
  <si>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</si>
  <si>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</si>
  <si>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</si>
  <si>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</si>
  <si>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</si>
  <si>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</si>
  <si>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</si>
  <si>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</si>
  <si>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</si>
  <si>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</si>
  <si>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</si>
  <si>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</si>
  <si>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</si>
  <si>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</si>
  <si>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</si>
  <si>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</si>
  <si>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</si>
  <si>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</si>
  <si>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</si>
  <si>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</si>
  <si>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</si>
  <si>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</si>
  <si>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</si>
  <si>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</si>
  <si>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</si>
  <si>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</si>
  <si>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</si>
  <si>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</si>
  <si>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</si>
  <si>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</si>
  <si>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</si>
  <si>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</si>
  <si>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</si>
  <si>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</si>
  <si>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</si>
  <si>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</si>
  <si>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</si>
  <si>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</si>
  <si>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</si>
  <si>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</si>
  <si>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</si>
  <si>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</si>
  <si>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</si>
  <si>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</si>
  <si>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</si>
  <si>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</si>
  <si>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</si>
  <si>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</si>
  <si>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</si>
  <si>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</si>
  <si>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</si>
  <si>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</si>
  <si>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</si>
  <si>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</si>
  <si>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</si>
  <si>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</si>
  <si>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</si>
  <si>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</si>
  <si>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</si>
  <si>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</si>
  <si>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</si>
  <si>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</si>
  <si>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</si>
  <si>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</si>
  <si>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</si>
  <si>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</si>
  <si>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</si>
  <si>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</si>
  <si>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</si>
  <si>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</si>
  <si>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</si>
  <si>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</si>
  <si>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</si>
  <si>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</si>
  <si>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</si>
  <si>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</si>
  <si>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</si>
  <si>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</si>
  <si>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</si>
  <si>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</si>
  <si>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</si>
  <si>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</si>
  <si>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</si>
  <si>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</si>
  <si>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</si>
  <si>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</si>
  <si>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</si>
  <si>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</si>
  <si>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</si>
  <si>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</si>
  <si>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</si>
  <si>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</si>
  <si>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</si>
  <si>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</si>
  <si>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</si>
  <si>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</si>
  <si>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</si>
  <si>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</si>
  <si>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</si>
  <si>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</si>
  <si>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</si>
  <si>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</si>
  <si>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</si>
  <si>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</si>
  <si>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</si>
  <si>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</si>
  <si>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</si>
  <si>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</si>
  <si>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</si>
  <si>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</si>
  <si>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</si>
  <si>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</si>
  <si>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</si>
  <si>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</si>
  <si>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</si>
  <si>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</si>
  <si>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</si>
  <si>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</si>
  <si>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</si>
  <si>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</si>
  <si>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</si>
  <si>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</si>
  <si>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</si>
  <si>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</si>
  <si>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</si>
  <si>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</si>
  <si>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</si>
  <si>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</si>
  <si>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</si>
  <si>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</si>
  <si>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</si>
  <si>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</si>
  <si>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</si>
  <si>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</si>
  <si>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</si>
  <si>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</si>
  <si>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</si>
  <si>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</si>
  <si>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</si>
  <si>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</si>
  <si>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</si>
  <si>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</si>
  <si>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</si>
  <si>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</si>
  <si>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</si>
  <si>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</si>
  <si>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</si>
  <si>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</si>
  <si>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</si>
  <si>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</si>
  <si>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</si>
  <si>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</si>
  <si>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</si>
  <si>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</si>
  <si>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</si>
  <si>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</si>
  <si>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</si>
  <si>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</si>
  <si>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</si>
  <si>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</si>
  <si>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</si>
  <si>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</si>
  <si>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</si>
  <si>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</si>
  <si>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</si>
  <si>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</si>
  <si>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</si>
  <si>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</si>
  <si>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</si>
  <si>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</si>
  <si>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</si>
  <si>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</si>
  <si>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</si>
  <si>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</si>
  <si>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</si>
  <si>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</si>
  <si>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</si>
  <si>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</si>
  <si>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</si>
  <si>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</si>
  <si>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</si>
  <si>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</si>
  <si>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</si>
  <si>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</si>
  <si>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</si>
  <si>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</si>
  <si>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</si>
  <si>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</si>
  <si>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</si>
  <si>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</si>
  <si>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</si>
  <si>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</si>
  <si>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</si>
  <si>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</si>
  <si>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</si>
  <si>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</si>
  <si>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</si>
  <si>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</si>
  <si>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</si>
  <si>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</si>
  <si>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</si>
  <si>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</si>
  <si>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</si>
  <si>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</si>
  <si>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</si>
  <si>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</si>
  <si>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</si>
  <si>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</si>
  <si>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</si>
  <si>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</si>
  <si>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</si>
  <si>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</si>
  <si>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</si>
  <si>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</si>
  <si>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</si>
  <si>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</si>
  <si>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</si>
  <si>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</si>
  <si>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</si>
  <si>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</si>
  <si>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</si>
  <si>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</si>
  <si>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</si>
  <si>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</si>
  <si>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</si>
  <si>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</si>
  <si>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</si>
  <si>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</si>
  <si>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</si>
  <si>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</si>
  <si>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</si>
  <si>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</si>
  <si>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</si>
  <si>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</si>
  <si>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</si>
  <si>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</si>
  <si>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</si>
  <si>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</si>
  <si>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</si>
  <si>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</si>
  <si>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</si>
  <si>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</si>
  <si>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</si>
  <si>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</si>
  <si>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</si>
  <si>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</si>
  <si>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</si>
  <si>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</si>
  <si>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</si>
  <si>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</si>
  <si>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</si>
  <si>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</si>
  <si>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</si>
  <si>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</si>
  <si>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</si>
  <si>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</si>
  <si>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</si>
  <si>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</si>
  <si>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</si>
  <si>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</si>
  <si>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</si>
  <si>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</si>
  <si>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</si>
  <si>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</si>
  <si>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</si>
  <si>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</si>
  <si>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</si>
  <si>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</si>
  <si>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</si>
  <si>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</si>
  <si>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</si>
  <si>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</si>
  <si>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</si>
  <si>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</si>
  <si>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</si>
  <si>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</si>
  <si>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</si>
  <si>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</si>
  <si>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</si>
  <si>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</si>
  <si>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</si>
  <si>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</si>
  <si>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</si>
  <si>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</si>
  <si>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</si>
  <si>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</si>
  <si>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</si>
  <si>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</si>
  <si>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</si>
  <si>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</si>
  <si>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</si>
  <si>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</si>
  <si>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</si>
  <si>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</si>
  <si>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</si>
  <si>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</si>
  <si>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</si>
  <si>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</si>
  <si>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</si>
  <si>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</si>
  <si>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</si>
  <si>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</si>
  <si>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</si>
  <si>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</si>
  <si>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</si>
  <si>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</si>
  <si>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</si>
  <si>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</si>
  <si>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</si>
  <si>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</si>
  <si>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</si>
  <si>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</si>
  <si>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</si>
  <si>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</si>
  <si>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</si>
  <si>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</si>
  <si>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</si>
  <si>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</si>
  <si>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</si>
  <si>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</si>
  <si>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</si>
  <si>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</si>
  <si>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</si>
  <si>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</si>
  <si>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</si>
  <si>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</si>
  <si>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</si>
  <si>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</si>
  <si>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</si>
  <si>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</si>
  <si>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</si>
  <si>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</si>
  <si>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</si>
  <si>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</si>
  <si>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</si>
  <si>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</si>
  <si>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</si>
  <si>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</si>
  <si>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</si>
  <si>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</si>
  <si>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</si>
  <si>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</si>
  <si>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</si>
  <si>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</si>
  <si>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</si>
  <si>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</si>
  <si>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</si>
  <si>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</si>
  <si>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</si>
  <si>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</si>
  <si>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</si>
  <si>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</si>
  <si>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</si>
  <si>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</si>
  <si>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</si>
  <si>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</si>
  <si>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</si>
  <si>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</si>
  <si>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</si>
  <si>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</si>
  <si>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</si>
  <si>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</si>
  <si>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</si>
  <si>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</si>
  <si>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</si>
  <si>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</si>
  <si>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</si>
  <si>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</si>
  <si>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</si>
  <si>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</si>
  <si>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</si>
  <si>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</si>
  <si>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</si>
  <si>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</si>
  <si>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</si>
  <si>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</si>
  <si>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</si>
  <si>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</si>
  <si>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</si>
  <si>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</si>
  <si>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</si>
  <si>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</si>
  <si>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</si>
  <si>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</si>
  <si>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</si>
  <si>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</si>
  <si>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</si>
  <si>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</si>
  <si>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</si>
  <si>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</si>
  <si>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</si>
  <si>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</si>
  <si>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</si>
  <si>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</si>
  <si>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</si>
  <si>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</si>
  <si>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</si>
  <si>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</si>
  <si>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</si>
  <si>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</si>
  <si>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</si>
  <si>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</si>
  <si>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</si>
  <si>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</si>
  <si>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</si>
  <si>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</si>
  <si>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</si>
  <si>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</si>
  <si>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</si>
  <si>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</si>
  <si>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</si>
  <si>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</si>
  <si>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</si>
  <si>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</si>
  <si>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</si>
  <si>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</si>
  <si>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</si>
  <si>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</si>
  <si>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</si>
  <si>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</si>
  <si>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</si>
  <si>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</si>
  <si>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</si>
  <si>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</si>
  <si>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</si>
  <si>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</si>
  <si>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</si>
  <si>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</si>
  <si>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</si>
  <si>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</si>
  <si>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</si>
  <si>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</si>
  <si>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</si>
  <si>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</si>
  <si>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</si>
  <si>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</si>
  <si>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</si>
  <si>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</si>
  <si>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</si>
  <si>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</si>
  <si>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</si>
  <si>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</si>
  <si>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</si>
  <si>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</si>
  <si>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</si>
  <si>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</si>
  <si>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</si>
  <si>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</si>
  <si>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</si>
  <si>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</si>
  <si>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</si>
  <si>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</si>
  <si>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</si>
  <si>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</si>
  <si>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</si>
  <si>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</si>
  <si>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</si>
  <si>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</si>
  <si>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</si>
  <si>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</si>
  <si>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</si>
  <si>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</si>
  <si>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</si>
  <si>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</si>
  <si>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</si>
  <si>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</si>
  <si>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</si>
  <si>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</si>
  <si>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</si>
  <si>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</si>
  <si>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</si>
  <si>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</si>
  <si>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</si>
  <si>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</si>
  <si>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</si>
  <si>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</si>
  <si>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</si>
  <si>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</si>
  <si>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</si>
  <si>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</si>
  <si>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</si>
  <si>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</si>
  <si>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</si>
  <si>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</si>
  <si>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</si>
  <si>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</si>
  <si>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</si>
  <si>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</si>
  <si>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</si>
  <si>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</si>
  <si>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</si>
  <si>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</si>
  <si>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</si>
  <si>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</si>
  <si>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</si>
  <si>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</si>
  <si>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</si>
  <si>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</si>
  <si>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</si>
  <si>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</si>
  <si>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</si>
  <si>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</si>
  <si>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</si>
  <si>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</si>
  <si>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</si>
  <si>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</si>
  <si>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</si>
  <si>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</si>
  <si>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</si>
  <si>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</si>
  <si>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</si>
  <si>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</si>
  <si>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</si>
  <si>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</si>
  <si>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</si>
  <si>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</si>
  <si>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</si>
  <si>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</si>
  <si>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</si>
  <si>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</si>
  <si>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</si>
  <si>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</si>
  <si>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</si>
  <si>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</si>
  <si>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</si>
  <si>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</si>
  <si>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</si>
  <si>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</si>
  <si>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</si>
  <si>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</si>
  <si>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</si>
  <si>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</si>
  <si>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</si>
  <si>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</si>
  <si>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</si>
  <si>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</si>
  <si>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</si>
  <si>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</si>
  <si>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</si>
  <si>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</si>
  <si>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</si>
  <si>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</si>
  <si>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</si>
  <si>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</si>
  <si>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</si>
  <si>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</si>
  <si>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</si>
  <si>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</si>
  <si>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</si>
  <si>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</si>
  <si>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</si>
  <si>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</si>
  <si>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</si>
  <si>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</si>
  <si>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</si>
  <si>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</si>
  <si>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</si>
  <si>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</si>
  <si>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</si>
  <si>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</si>
  <si>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</si>
  <si>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</si>
  <si>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</si>
  <si>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</si>
  <si>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</si>
  <si>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</si>
  <si>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</si>
  <si>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</si>
  <si>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</si>
  <si>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</si>
  <si>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</si>
  <si>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</si>
  <si>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</si>
  <si>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</si>
  <si>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</si>
  <si>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</si>
  <si>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</si>
  <si>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</si>
  <si>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</si>
  <si>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</si>
  <si>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</si>
  <si>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</si>
  <si>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</si>
  <si>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</si>
  <si>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</si>
  <si>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</si>
  <si>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</si>
  <si>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</si>
  <si>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</si>
  <si>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</si>
  <si>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</si>
  <si>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</si>
  <si>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</si>
  <si>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</si>
  <si>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</si>
  <si>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</si>
  <si>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</si>
  <si>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</si>
  <si>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</si>
  <si>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</si>
  <si>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</si>
  <si>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</si>
  <si>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</si>
  <si>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</si>
  <si>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</si>
  <si>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</si>
  <si>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</si>
  <si>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</si>
  <si>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</si>
  <si>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</si>
  <si>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</si>
  <si>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</si>
  <si>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</si>
  <si>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</si>
  <si>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</si>
  <si>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</si>
  <si>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</si>
  <si>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</si>
  <si>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</si>
  <si>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</si>
  <si>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</si>
  <si>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</si>
  <si>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</si>
  <si>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</si>
  <si>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</si>
  <si>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</si>
  <si>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</si>
  <si>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</si>
  <si>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</si>
  <si>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</si>
  <si>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</si>
  <si>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</si>
  <si>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</si>
  <si>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</si>
  <si>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</si>
  <si>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</si>
  <si>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</si>
  <si>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</si>
  <si>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</si>
  <si>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</si>
  <si>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</si>
  <si>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</si>
  <si>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</si>
  <si>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</si>
  <si>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</si>
  <si>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</si>
  <si>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</si>
  <si>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</si>
  <si>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</si>
  <si>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</si>
  <si>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</si>
  <si>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</si>
  <si>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</si>
  <si>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</si>
  <si>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</si>
  <si>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</si>
  <si>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</si>
  <si>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</si>
  <si>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</si>
  <si>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</si>
  <si>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</si>
  <si>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</si>
  <si>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</si>
  <si>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</si>
  <si>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</si>
  <si>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</si>
  <si>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</si>
  <si>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</si>
  <si>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</si>
  <si>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</si>
  <si>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</si>
  <si>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</si>
  <si>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</si>
  <si>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</si>
  <si>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</si>
  <si>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</si>
  <si>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</si>
  <si>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</si>
  <si>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</si>
  <si>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</si>
  <si>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</si>
  <si>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</si>
  <si>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</si>
  <si>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</si>
  <si>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</si>
  <si>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</si>
  <si>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</si>
  <si>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</si>
  <si>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</si>
  <si>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</si>
  <si>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</si>
  <si>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</si>
  <si>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</si>
  <si>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</si>
  <si>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</si>
  <si>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</si>
  <si>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</si>
  <si>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</si>
  <si>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</si>
  <si>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</si>
  <si>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</si>
  <si>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</si>
  <si>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</si>
  <si>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</si>
  <si>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</si>
  <si>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</si>
  <si>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</si>
  <si>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</si>
  <si>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</si>
  <si>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</si>
  <si>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</si>
  <si>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</si>
  <si>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</si>
  <si>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</si>
  <si>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</si>
  <si>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</si>
  <si>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</si>
  <si>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</si>
  <si>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</si>
  <si>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</si>
  <si>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</si>
  <si>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</si>
  <si>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</si>
  <si>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</si>
  <si>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</si>
  <si>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</si>
  <si>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</si>
  <si>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</si>
  <si>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</si>
  <si>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</si>
  <si>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</si>
  <si>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</si>
  <si>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</si>
  <si>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</si>
  <si>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</si>
  <si>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</si>
  <si>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</si>
  <si>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</si>
  <si>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</si>
  <si>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</si>
  <si>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</si>
  <si>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</si>
  <si>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</si>
  <si>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</si>
  <si>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</si>
  <si>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</si>
  <si>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</si>
  <si>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</si>
  <si>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</si>
  <si>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</si>
  <si>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</si>
  <si>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</si>
  <si>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</si>
  <si>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</si>
  <si>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</si>
  <si>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</si>
  <si>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</si>
  <si>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</si>
  <si>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</si>
  <si>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</si>
  <si>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</si>
  <si>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</si>
  <si>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</si>
  <si>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</si>
  <si>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</si>
  <si>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</si>
  <si>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</si>
  <si>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</si>
  <si>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</si>
  <si>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</si>
  <si>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</si>
  <si>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</si>
  <si>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</si>
  <si>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</si>
  <si>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</si>
  <si>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</si>
  <si>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</si>
  <si>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</si>
  <si>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</si>
  <si>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</si>
  <si>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</si>
  <si>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</si>
  <si>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</si>
  <si>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</si>
  <si>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</si>
  <si>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</si>
  <si>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</si>
  <si>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</si>
  <si>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</si>
  <si>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</si>
  <si>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</si>
  <si>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</si>
  <si>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</si>
  <si>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</si>
  <si>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</si>
  <si>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</si>
  <si>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</si>
  <si>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</si>
  <si>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</si>
  <si>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</si>
  <si>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</si>
  <si>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</si>
  <si>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</si>
  <si>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</si>
  <si>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</si>
  <si>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</si>
  <si>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</si>
  <si>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</si>
  <si>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</si>
  <si>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</si>
  <si>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</si>
  <si>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</si>
  <si>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</si>
  <si>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</si>
  <si>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</si>
  <si>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</si>
  <si>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</si>
  <si>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</si>
  <si>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</si>
  <si>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</si>
  <si>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</si>
  <si>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</si>
  <si>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</si>
  <si>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</si>
  <si>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</si>
  <si>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</si>
  <si>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</si>
  <si>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</si>
  <si>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</si>
  <si>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</si>
  <si>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</si>
  <si>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</si>
  <si>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</si>
  <si>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</si>
  <si>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</si>
  <si>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</si>
  <si>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</si>
  <si>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</si>
  <si>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</si>
  <si>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</si>
  <si>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</si>
  <si>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</si>
  <si>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</si>
  <si>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</si>
  <si>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</si>
  <si>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</si>
  <si>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</si>
  <si>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</si>
  <si>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</si>
  <si>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</si>
  <si>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</si>
  <si>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</si>
  <si>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</si>
  <si>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</si>
  <si>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</si>
  <si>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</si>
  <si>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</si>
  <si>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</si>
  <si>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</si>
  <si>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</si>
  <si>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</si>
  <si>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</si>
  <si>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</si>
  <si>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</si>
  <si>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</si>
  <si>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</si>
  <si>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</si>
  <si>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</si>
  <si>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</si>
  <si>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</si>
  <si>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</si>
  <si>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</si>
  <si>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</si>
  <si>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</si>
  <si>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</si>
  <si>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</si>
  <si>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</si>
  <si>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</si>
  <si>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</si>
  <si>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</si>
  <si>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</si>
  <si>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</si>
  <si>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</si>
  <si>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</si>
  <si>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</si>
  <si>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</si>
  <si>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</si>
  <si>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</si>
  <si>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</si>
  <si>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</si>
  <si>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</si>
  <si>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</si>
  <si>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</si>
  <si>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</si>
  <si>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</si>
  <si>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</si>
  <si>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</si>
  <si>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</si>
  <si>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</si>
  <si>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</si>
  <si>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</si>
  <si>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</si>
  <si>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</si>
  <si>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</si>
  <si>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</si>
  <si>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</si>
  <si>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</si>
  <si>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</si>
  <si>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</si>
  <si>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</si>
  <si>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</si>
  <si>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</si>
  <si>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</si>
  <si>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</si>
  <si>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</si>
  <si>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</si>
  <si>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</si>
  <si>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</si>
  <si>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</si>
  <si>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</si>
  <si>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</si>
  <si>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</si>
  <si>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</si>
  <si>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</si>
  <si>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</si>
  <si>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</si>
  <si>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</si>
  <si>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</si>
  <si>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</si>
  <si>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</si>
  <si>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</si>
  <si>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</si>
  <si>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</si>
  <si>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</si>
  <si>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</si>
  <si>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</si>
  <si>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</si>
  <si>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</si>
  <si>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</si>
  <si>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</si>
  <si>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</si>
  <si>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</si>
  <si>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</si>
  <si>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</si>
  <si>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</si>
  <si>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</si>
  <si>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</si>
  <si>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</si>
  <si>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</si>
  <si>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</si>
  <si>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</si>
  <si>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</si>
  <si>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</si>
  <si>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</si>
  <si>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</si>
  <si>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</si>
  <si>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</si>
  <si>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</si>
  <si>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</si>
  <si>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</si>
  <si>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</si>
  <si>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</si>
  <si>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</si>
  <si>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</si>
  <si>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</si>
  <si>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</si>
  <si>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</si>
  <si>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</si>
  <si>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</si>
  <si>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</si>
  <si>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</si>
  <si>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</si>
  <si>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</si>
  <si>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</si>
  <si>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</si>
  <si>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</si>
  <si>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</si>
  <si>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</si>
  <si>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</si>
  <si>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</si>
  <si>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</si>
  <si>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</si>
  <si>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</si>
  <si>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</si>
  <si>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</si>
  <si>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</si>
  <si>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</si>
  <si>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</si>
  <si>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</si>
  <si>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</si>
  <si>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</si>
  <si>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</si>
  <si>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</si>
  <si>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</si>
  <si>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</si>
  <si>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</si>
  <si>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</si>
  <si>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</si>
  <si>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</si>
  <si>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</si>
  <si>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</si>
  <si>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</si>
  <si>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</si>
  <si>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</si>
  <si>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</si>
  <si>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</si>
  <si>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</si>
  <si>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</si>
  <si>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</si>
  <si>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</si>
  <si>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</si>
  <si>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</si>
  <si>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</si>
  <si>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</si>
  <si>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</si>
  <si>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</si>
  <si>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</si>
  <si>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</si>
  <si>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</si>
  <si>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</si>
  <si>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</si>
  <si>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</si>
  <si>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</si>
  <si>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</si>
  <si>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</si>
  <si>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</si>
  <si>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</si>
  <si>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</si>
  <si>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</si>
  <si>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</si>
  <si>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</si>
  <si>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</si>
  <si>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</si>
  <si>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</si>
  <si>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</si>
  <si>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</si>
  <si>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</si>
  <si>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</si>
  <si>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</si>
  <si>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</si>
  <si>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</si>
  <si>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</si>
  <si>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</si>
  <si>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</si>
  <si>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</si>
  <si>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</si>
  <si>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</si>
  <si>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</si>
  <si>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</si>
  <si>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</si>
  <si>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</si>
  <si>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</si>
  <si>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</si>
  <si>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</si>
  <si>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</si>
  <si>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</si>
  <si>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</si>
  <si>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</si>
  <si>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</si>
  <si>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</si>
  <si>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</si>
  <si>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</si>
  <si>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</si>
  <si>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</si>
  <si>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</si>
  <si>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</si>
  <si>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</si>
  <si>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</si>
  <si>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</si>
  <si>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</si>
  <si>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</si>
  <si>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</si>
  <si>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</si>
  <si>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</si>
  <si>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</si>
  <si>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</si>
  <si>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</si>
  <si>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</si>
  <si>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</si>
  <si>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</si>
  <si>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</si>
  <si>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</si>
  <si>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</si>
  <si>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</si>
  <si>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</si>
  <si>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</si>
  <si>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</si>
  <si>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</si>
  <si>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</si>
  <si>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</si>
  <si>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</si>
  <si>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</si>
  <si>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</si>
  <si>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</si>
  <si>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</si>
  <si>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</si>
  <si>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</si>
  <si>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</si>
  <si>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</si>
  <si>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</si>
  <si>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</si>
  <si>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</si>
  <si>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</si>
  <si>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</si>
  <si>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</si>
  <si>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</si>
  <si>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</si>
  <si>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</si>
  <si>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</si>
  <si>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</si>
  <si>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</si>
  <si>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</si>
  <si>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</si>
  <si>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</si>
  <si>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</si>
  <si>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</si>
  <si>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</si>
  <si>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</si>
  <si>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</si>
  <si>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</si>
  <si>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</si>
  <si>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</si>
  <si>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</si>
  <si>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</si>
  <si>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</si>
  <si>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</si>
  <si>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</si>
  <si>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</si>
  <si>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</si>
  <si>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</si>
  <si>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</si>
  <si>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</si>
  <si>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</si>
  <si>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</si>
  <si>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</si>
  <si>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</si>
  <si>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</si>
  <si>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</si>
  <si>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</si>
  <si>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</si>
  <si>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</si>
  <si>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</si>
  <si>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</si>
  <si>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</si>
  <si>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</si>
  <si>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</si>
  <si>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</si>
  <si>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</si>
  <si>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</si>
  <si>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</si>
  <si>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</si>
  <si>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</si>
  <si>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</si>
  <si>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</si>
  <si>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</si>
  <si>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</si>
  <si>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</si>
  <si>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</si>
  <si>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</si>
  <si>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</si>
  <si>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</si>
  <si>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</si>
  <si>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</si>
  <si>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</si>
  <si>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</si>
  <si>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</si>
  <si>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</si>
  <si>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</si>
  <si>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</si>
  <si>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</si>
  <si>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</si>
  <si>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</si>
  <si>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</si>
  <si>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</si>
  <si>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</si>
  <si>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</si>
  <si>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</si>
  <si>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</si>
  <si>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</si>
  <si>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</si>
  <si>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</si>
  <si>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</si>
  <si>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</si>
  <si>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</si>
  <si>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</si>
  <si>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</si>
  <si>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</si>
  <si>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</si>
  <si>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</si>
  <si>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</si>
  <si>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</si>
  <si>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</si>
  <si>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</si>
  <si>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</si>
  <si>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</si>
  <si>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</si>
  <si>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</si>
  <si>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</si>
  <si>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</si>
  <si>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</si>
  <si>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</si>
  <si>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</si>
  <si>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</si>
  <si>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</si>
  <si>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</si>
  <si>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</si>
  <si>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</si>
  <si>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</si>
  <si>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</si>
  <si>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</si>
  <si>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</si>
  <si>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</si>
  <si>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</si>
  <si>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</si>
  <si>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</si>
  <si>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</si>
  <si>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</si>
  <si>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</si>
  <si>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</si>
  <si>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</si>
  <si>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</si>
  <si>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</si>
  <si>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</si>
  <si>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</si>
  <si>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</si>
  <si>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</si>
  <si>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</si>
  <si>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</si>
  <si>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</si>
  <si>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</si>
  <si>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</si>
  <si>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</si>
  <si>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</si>
  <si>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</si>
  <si>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</si>
  <si>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</si>
  <si>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</si>
  <si>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</si>
  <si>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</si>
  <si>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</si>
  <si>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</si>
  <si>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</si>
  <si>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</si>
  <si>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</si>
  <si>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</si>
  <si>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</si>
  <si>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</si>
  <si>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</si>
  <si>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</si>
  <si>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</si>
  <si>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</si>
  <si>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</si>
  <si>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</si>
  <si>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</si>
  <si>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</si>
  <si>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</si>
  <si>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</si>
  <si>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</si>
  <si>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</si>
  <si>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</si>
  <si>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</si>
  <si>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</si>
  <si>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</si>
  <si>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</si>
  <si>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</si>
  <si>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</si>
  <si>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</si>
  <si>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</si>
  <si>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</si>
  <si>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</si>
  <si>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</si>
  <si>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</si>
  <si>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</si>
  <si>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</si>
  <si>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</si>
  <si>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</si>
  <si>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</si>
  <si>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</si>
  <si>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</si>
  <si>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</si>
  <si>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</si>
  <si>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</si>
  <si>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</si>
  <si>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</si>
  <si>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</si>
  <si>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</si>
  <si>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</si>
  <si>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</si>
  <si>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</si>
  <si>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</si>
  <si>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</si>
  <si>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</si>
  <si>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</si>
  <si>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</si>
  <si>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</si>
  <si>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</si>
  <si>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</si>
  <si>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</si>
  <si>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</si>
  <si>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</si>
  <si>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</si>
  <si>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</si>
  <si>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</si>
  <si>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</si>
  <si>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</si>
  <si>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</si>
  <si>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</si>
  <si>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</si>
  <si>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</si>
  <si>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</si>
  <si>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</si>
  <si>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</si>
  <si>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</si>
  <si>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</si>
  <si>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</si>
  <si>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</si>
  <si>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</si>
  <si>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</si>
  <si>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</si>
  <si>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</si>
  <si>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</si>
  <si>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</si>
  <si>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</si>
  <si>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</si>
  <si>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</si>
  <si>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</si>
  <si>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</si>
  <si>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</si>
  <si>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</si>
  <si>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</si>
  <si>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</si>
  <si>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</si>
  <si>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</si>
  <si>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</si>
  <si>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</si>
  <si>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</si>
  <si>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</si>
  <si>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</si>
  <si>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</si>
  <si>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</si>
  <si>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</si>
  <si>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</si>
  <si>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</si>
  <si>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</si>
  <si>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</si>
  <si>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</si>
  <si>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</si>
  <si>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</si>
  <si>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</si>
  <si>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</si>
  <si>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</si>
  <si>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</si>
  <si>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</si>
  <si>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</si>
  <si>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</si>
  <si>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</si>
  <si>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</si>
  <si>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</si>
  <si>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</si>
  <si>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</si>
  <si>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</si>
  <si>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</si>
  <si>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</si>
  <si>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</si>
  <si>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</si>
  <si>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</si>
  <si>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</si>
  <si>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</si>
  <si>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</si>
  <si>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</si>
  <si>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</si>
  <si>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</si>
  <si>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</si>
  <si>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</si>
  <si>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</si>
  <si>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</si>
  <si>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</si>
  <si>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</si>
  <si>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</si>
  <si>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</si>
  <si>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</si>
  <si>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</si>
  <si>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</si>
  <si>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</si>
  <si>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</si>
  <si>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</si>
  <si>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</si>
  <si>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</si>
  <si>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</si>
  <si>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</si>
  <si>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</si>
  <si>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</si>
  <si>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</si>
  <si>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</si>
  <si>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</si>
  <si>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</si>
  <si>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</si>
  <si>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</si>
  <si>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</si>
  <si>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</si>
  <si>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</si>
  <si>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</si>
  <si>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</si>
  <si>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</si>
  <si>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</si>
  <si>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</si>
  <si>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</si>
  <si>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</si>
  <si>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</si>
  <si>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</si>
  <si>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</si>
  <si>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</si>
  <si>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</si>
  <si>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</si>
  <si>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</si>
  <si>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</si>
  <si>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</si>
  <si>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</si>
  <si>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</si>
  <si>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</si>
  <si>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</si>
  <si>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</si>
  <si>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</si>
  <si>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</si>
  <si>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</si>
  <si>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</si>
  <si>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</si>
  <si>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</si>
  <si>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</si>
  <si>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</si>
  <si>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</si>
  <si>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</si>
  <si>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</si>
  <si>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</si>
  <si>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</si>
  <si>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</si>
  <si>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</si>
  <si>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</si>
  <si>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</si>
  <si>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</si>
  <si>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</si>
  <si>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</si>
  <si>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</si>
  <si>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</si>
  <si>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</si>
  <si>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</si>
  <si>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</si>
  <si>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</si>
  <si>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</si>
  <si>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</si>
  <si>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</si>
  <si>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</si>
  <si>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</si>
  <si>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</si>
  <si>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</si>
  <si>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</si>
  <si>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</si>
  <si>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</si>
  <si>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</si>
  <si>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</si>
  <si>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</si>
  <si>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</si>
  <si>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</si>
  <si>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</si>
  <si>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</si>
  <si>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</si>
  <si>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</si>
  <si>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</si>
  <si>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</si>
  <si>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</si>
  <si>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</si>
  <si>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</si>
  <si>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</si>
  <si>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</si>
  <si>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</si>
  <si>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</si>
  <si>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</si>
  <si>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</si>
  <si>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</si>
  <si>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</si>
  <si>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</si>
  <si>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</si>
  <si>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</si>
  <si>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</si>
  <si>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</si>
  <si>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</si>
  <si>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</si>
  <si>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</si>
  <si>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</si>
  <si>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</si>
  <si>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</si>
  <si>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</si>
  <si>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</si>
  <si>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</si>
  <si>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</si>
  <si>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</si>
  <si>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</si>
  <si>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</si>
  <si>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</si>
  <si>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</si>
  <si>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</si>
  <si>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</si>
  <si>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</si>
  <si>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</si>
  <si>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</si>
  <si>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</si>
  <si>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</si>
  <si>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</si>
  <si>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</si>
  <si>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</si>
  <si>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</si>
  <si>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</si>
  <si>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</si>
  <si>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</si>
  <si>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</si>
  <si>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</si>
  <si>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</si>
  <si>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</si>
  <si>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</si>
  <si>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</si>
  <si>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</si>
  <si>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</si>
  <si>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</si>
  <si>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</si>
  <si>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</si>
  <si>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</si>
  <si>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</si>
  <si>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</si>
  <si>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</si>
  <si>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</si>
  <si>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</si>
  <si>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</si>
  <si>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</si>
  <si>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</si>
  <si>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</si>
  <si>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</si>
  <si>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</si>
  <si>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</si>
  <si>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</si>
  <si>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</si>
  <si>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</si>
  <si>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</si>
  <si>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</si>
  <si>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</si>
  <si>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</si>
  <si>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</si>
  <si>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</si>
  <si>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</si>
  <si>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</si>
  <si>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</si>
  <si>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</si>
  <si>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</si>
  <si>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</si>
  <si>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</si>
  <si>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</si>
  <si>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</si>
  <si>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</si>
  <si>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</si>
  <si>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</si>
  <si>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</si>
  <si>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</si>
  <si>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</si>
  <si>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</si>
  <si>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</si>
  <si>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</si>
  <si>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</si>
  <si>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</si>
  <si>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</si>
  <si>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</si>
  <si>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</si>
  <si>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</si>
  <si>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</si>
  <si>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</si>
  <si>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</si>
  <si>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</si>
  <si>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</si>
  <si>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</si>
  <si>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</si>
  <si>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</si>
  <si>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</si>
  <si>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</si>
  <si>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</si>
  <si>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</si>
  <si>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</si>
  <si>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</si>
  <si>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</si>
  <si>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</si>
  <si>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</si>
  <si>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</si>
  <si>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</si>
  <si>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</si>
  <si>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</si>
  <si>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</si>
  <si>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</si>
  <si>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</si>
  <si>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</si>
  <si>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</si>
  <si>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</si>
  <si>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</si>
  <si>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</si>
  <si>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</si>
  <si>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</si>
  <si>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</si>
  <si>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</si>
  <si>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</si>
  <si>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</si>
  <si>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</si>
  <si>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</si>
  <si>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</si>
  <si>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</si>
  <si>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</si>
  <si>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</si>
  <si>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</si>
  <si>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</si>
  <si>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</si>
  <si>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</si>
  <si>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</si>
  <si>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</si>
  <si>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</si>
  <si>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</si>
  <si>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</si>
  <si>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</si>
  <si>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</si>
  <si>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</si>
  <si>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</si>
  <si>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</si>
  <si>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</si>
  <si>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</si>
  <si>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</si>
  <si>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</si>
  <si>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</si>
  <si>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</si>
  <si>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</si>
  <si>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</si>
  <si>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</si>
  <si>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</si>
  <si>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</si>
  <si>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</si>
  <si>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</si>
  <si>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</si>
  <si>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</si>
  <si>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</si>
  <si>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</si>
  <si>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</si>
  <si>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</si>
  <si>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</si>
  <si>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</si>
  <si>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</si>
  <si>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</si>
  <si>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</si>
  <si>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</si>
  <si>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</si>
  <si>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</si>
  <si>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</si>
  <si>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</si>
  <si>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</si>
  <si>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</si>
  <si>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</si>
  <si>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</si>
  <si>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</si>
  <si>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</si>
  <si>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</si>
  <si>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</si>
  <si>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</si>
  <si>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</si>
  <si>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</si>
  <si>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</si>
  <si>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</si>
  <si>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</si>
  <si>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</si>
  <si>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</si>
  <si>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</si>
  <si>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</si>
  <si>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</si>
  <si>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</si>
  <si>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</si>
  <si>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</si>
  <si>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</si>
  <si>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</si>
  <si>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</si>
  <si>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</si>
  <si>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</si>
  <si>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</si>
  <si>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</si>
  <si>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</si>
  <si>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</si>
  <si>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</si>
  <si>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</si>
  <si>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</si>
  <si>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</si>
  <si>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</si>
  <si>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</si>
  <si>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</si>
  <si>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</si>
  <si>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</si>
  <si>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</si>
  <si>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</si>
  <si>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</si>
  <si>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</si>
  <si>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</si>
  <si>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</si>
  <si>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</si>
  <si>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</si>
  <si>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</si>
  <si>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</si>
  <si>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</si>
  <si>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</si>
  <si>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</si>
  <si>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</si>
  <si>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</si>
  <si>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</si>
  <si>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</si>
  <si>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</si>
  <si>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</si>
  <si>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</si>
  <si>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</si>
  <si>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</si>
  <si>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</si>
  <si>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</si>
  <si>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</si>
  <si>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</si>
  <si>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</si>
  <si>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</si>
  <si>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</si>
  <si>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</si>
  <si>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</si>
  <si>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</si>
  <si>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</si>
  <si>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</si>
  <si>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</si>
  <si>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</si>
  <si>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</si>
  <si>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</si>
  <si>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</si>
  <si>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</si>
  <si>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</si>
  <si>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</si>
  <si>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</si>
  <si>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</si>
  <si>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</si>
  <si>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</si>
  <si>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</si>
  <si>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</si>
  <si>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</si>
  <si>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</si>
  <si>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</si>
  <si>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</si>
  <si>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</si>
  <si>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</si>
  <si>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</si>
  <si>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</si>
  <si>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</si>
  <si>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</si>
  <si>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</si>
  <si>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</si>
  <si>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</si>
  <si>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</si>
  <si>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</si>
  <si>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</si>
  <si>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</si>
  <si>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</si>
  <si>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</si>
  <si>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</si>
  <si>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</si>
  <si>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</si>
  <si>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</si>
  <si>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</si>
  <si>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</si>
  <si>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</si>
  <si>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</si>
  <si>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</si>
  <si>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</si>
  <si>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</si>
  <si>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</si>
  <si>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</si>
  <si>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</si>
  <si>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</si>
  <si>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</si>
  <si>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</si>
  <si>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</si>
  <si>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</si>
  <si>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</si>
  <si>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</si>
  <si>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</si>
  <si>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</si>
  <si>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</si>
  <si>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</si>
  <si>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</si>
  <si>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</si>
  <si>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</si>
  <si>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</si>
  <si>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</si>
  <si>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</si>
  <si>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</si>
  <si>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</si>
  <si>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</si>
  <si>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</si>
  <si>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</si>
  <si>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</si>
  <si>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</si>
  <si>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</si>
  <si>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</si>
  <si>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</si>
  <si>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</si>
  <si>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</si>
  <si>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</si>
  <si>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</si>
  <si>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</si>
  <si>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</si>
  <si>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</si>
  <si>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</si>
  <si>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</si>
  <si>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</si>
  <si>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</si>
  <si>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</si>
  <si>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</si>
  <si>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</si>
  <si>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</si>
  <si>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</si>
  <si>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</si>
  <si>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</si>
  <si>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</si>
  <si>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</si>
  <si>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</si>
  <si>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</si>
  <si>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</si>
  <si>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</si>
  <si>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</si>
  <si>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</si>
  <si>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</si>
  <si>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</si>
  <si>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</si>
  <si>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</si>
  <si>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</si>
  <si>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</si>
  <si>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</si>
  <si>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</si>
  <si>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</si>
  <si>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</si>
  <si>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</si>
  <si>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</si>
  <si>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</si>
  <si>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</si>
  <si>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</si>
  <si>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</si>
  <si>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</si>
  <si>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</si>
  <si>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</si>
  <si>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</si>
  <si>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</si>
  <si>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</si>
  <si>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</si>
  <si>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</si>
  <si>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</si>
  <si>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</si>
  <si>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</si>
  <si>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</si>
  <si>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</si>
  <si>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</si>
  <si>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</si>
  <si>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</si>
  <si>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</si>
  <si>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</si>
  <si>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</si>
  <si>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</si>
  <si>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</si>
  <si>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</si>
  <si>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</si>
  <si>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</si>
  <si>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</si>
  <si>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</si>
  <si>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</si>
  <si>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</si>
  <si>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</si>
  <si>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</si>
  <si>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</si>
  <si>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</si>
  <si>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</si>
  <si>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</si>
  <si>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</si>
  <si>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</si>
  <si>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</si>
  <si>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</si>
  <si>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</si>
  <si>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</si>
  <si>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</si>
  <si>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</si>
  <si>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</si>
  <si>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</si>
  <si>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</si>
  <si>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</si>
  <si>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</si>
  <si>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</si>
  <si>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</si>
  <si>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</si>
  <si>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</si>
  <si>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</si>
  <si>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</si>
  <si>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</si>
  <si>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</si>
  <si>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</si>
  <si>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</si>
  <si>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</si>
  <si>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</si>
  <si>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</si>
  <si>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</si>
  <si>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</si>
  <si>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</si>
  <si>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</si>
  <si>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</si>
  <si>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</si>
  <si>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</si>
  <si>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</si>
  <si>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</si>
  <si>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</si>
  <si>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</si>
  <si>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</si>
  <si>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</si>
  <si>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</si>
  <si>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</si>
  <si>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</si>
  <si>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</si>
  <si>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</si>
  <si>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</si>
  <si>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</si>
  <si>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</si>
  <si>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</si>
  <si>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</si>
  <si>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</si>
  <si>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</si>
  <si>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</si>
  <si>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</si>
  <si>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</si>
  <si>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</si>
  <si>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</si>
  <si>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</si>
  <si>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</si>
  <si>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</si>
  <si>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</si>
  <si>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</si>
  <si>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</si>
  <si>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</si>
  <si>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</si>
  <si>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</si>
  <si>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</si>
  <si>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</si>
  <si>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</si>
  <si>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</si>
  <si>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</si>
  <si>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</si>
  <si>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</si>
  <si>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</si>
  <si>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</si>
  <si>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</si>
  <si>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</si>
  <si>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</si>
  <si>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</si>
  <si>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</si>
  <si>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</si>
  <si>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</si>
  <si>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</si>
  <si>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</si>
  <si>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</si>
  <si>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</si>
  <si>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</si>
  <si>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</si>
  <si>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</si>
  <si>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</si>
  <si>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</si>
  <si>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</si>
  <si>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</si>
  <si>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</si>
  <si>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</si>
  <si>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</si>
  <si>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</si>
  <si>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</si>
  <si>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</si>
  <si>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</si>
  <si>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</si>
  <si>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</si>
  <si>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</si>
  <si>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</si>
  <si>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</si>
  <si>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</si>
  <si>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</si>
  <si>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</si>
  <si>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</si>
  <si>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</si>
  <si>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</si>
  <si>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</si>
  <si>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</si>
  <si>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</si>
  <si>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</si>
  <si>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</si>
  <si>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</si>
  <si>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</si>
  <si>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</si>
  <si>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</si>
  <si>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</si>
  <si>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</si>
  <si>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</si>
  <si>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</si>
  <si>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</si>
  <si>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</si>
  <si>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</si>
  <si>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</si>
  <si>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</si>
  <si>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</si>
  <si>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</si>
  <si>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</si>
  <si>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</si>
  <si>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</si>
  <si>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</si>
  <si>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</si>
  <si>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</si>
  <si>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</si>
  <si>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</si>
  <si>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</si>
  <si>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</si>
  <si>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</si>
  <si>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</si>
  <si>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</si>
  <si>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</si>
  <si>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</si>
  <si>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</si>
  <si>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</si>
  <si>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</si>
  <si>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</si>
  <si>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</si>
  <si>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</si>
  <si>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</si>
  <si>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</si>
  <si>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</si>
  <si>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</si>
  <si>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</si>
  <si>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</si>
  <si>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</si>
  <si>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</si>
  <si>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</si>
  <si>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</si>
  <si>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</si>
  <si>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</si>
  <si>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</si>
  <si>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</si>
  <si>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</si>
  <si>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</si>
  <si>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</si>
  <si>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</si>
  <si>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</si>
  <si>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</si>
  <si>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</si>
  <si>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</si>
  <si>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</si>
  <si>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</si>
  <si>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</si>
  <si>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</si>
  <si>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</si>
  <si>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</si>
  <si>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</si>
  <si>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</si>
  <si>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</si>
  <si>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</si>
  <si>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</si>
  <si>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</si>
  <si>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</si>
  <si>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</si>
  <si>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</si>
  <si>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</si>
  <si>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</si>
  <si>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</si>
  <si>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</si>
  <si>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</si>
  <si>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</si>
  <si>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</si>
  <si>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</si>
  <si>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</si>
  <si>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</si>
  <si>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</si>
  <si>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</si>
  <si>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</si>
  <si>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</si>
  <si>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</si>
  <si>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</si>
  <si>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</si>
  <si>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</si>
  <si>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</si>
  <si>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</si>
  <si>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</si>
  <si>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</si>
  <si>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</si>
  <si>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</si>
  <si>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</si>
  <si>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</si>
  <si>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</si>
  <si>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</si>
  <si>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</si>
  <si>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</si>
  <si>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</si>
  <si>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</si>
  <si>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</si>
  <si>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</si>
  <si>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</si>
  <si>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</si>
  <si>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</si>
  <si>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</si>
  <si>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</si>
  <si>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</si>
  <si>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</si>
  <si>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</si>
  <si>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</si>
  <si>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</si>
  <si>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</si>
  <si>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</si>
  <si>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</si>
  <si>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</si>
  <si>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</si>
  <si>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</si>
  <si>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</si>
  <si>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</si>
  <si>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</si>
  <si>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</si>
  <si>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</si>
  <si>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</si>
  <si>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</si>
  <si>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</si>
  <si>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</si>
  <si>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</si>
  <si>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</si>
  <si>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</si>
  <si>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</si>
  <si>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</si>
  <si>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</si>
  <si>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</si>
  <si>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</si>
  <si>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</si>
  <si>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</si>
  <si>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</si>
  <si>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</si>
  <si>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</si>
  <si>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</si>
  <si>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</si>
  <si>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</si>
  <si>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</si>
  <si>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</si>
  <si>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</si>
  <si>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</si>
  <si>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</si>
  <si>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</si>
  <si>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</si>
  <si>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</si>
  <si>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</si>
  <si>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</si>
  <si>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</si>
  <si>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</si>
  <si>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</si>
  <si>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</si>
  <si>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</si>
  <si>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</si>
  <si>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</si>
  <si>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</si>
  <si>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</si>
  <si>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</si>
  <si>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</si>
  <si>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</si>
  <si>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</si>
  <si>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</si>
  <si>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</si>
  <si>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</si>
  <si>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</si>
  <si>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</si>
  <si>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</si>
  <si>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</si>
  <si>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</si>
  <si>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</si>
  <si>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</si>
  <si>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</si>
  <si>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</si>
  <si>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</si>
  <si>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</si>
  <si>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</si>
  <si>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</si>
  <si>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</si>
  <si>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</si>
  <si>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</si>
  <si>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</si>
  <si>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</si>
  <si>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</si>
  <si>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</si>
  <si>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</si>
  <si>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</si>
  <si>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</si>
  <si>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</si>
  <si>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</si>
  <si>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</si>
  <si>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</si>
  <si>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</si>
  <si>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</si>
  <si>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</si>
  <si>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</si>
  <si>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</si>
  <si>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</si>
  <si>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</si>
  <si>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</si>
  <si>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</si>
  <si>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</si>
  <si>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</si>
  <si>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</si>
  <si>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</si>
  <si>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</si>
  <si>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</si>
  <si>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</si>
  <si>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</si>
  <si>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</si>
  <si>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</si>
  <si>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</si>
  <si>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</si>
  <si>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</si>
  <si>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</si>
  <si>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</si>
  <si>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</si>
  <si>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</si>
  <si>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</si>
  <si>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</si>
  <si>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</si>
  <si>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</si>
  <si>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</si>
  <si>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</si>
  <si>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</si>
  <si>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</si>
  <si>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</si>
  <si>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</si>
  <si>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</si>
  <si>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</si>
  <si>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</si>
  <si>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</si>
  <si>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</si>
  <si>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</si>
  <si>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</si>
  <si>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</si>
  <si>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</si>
  <si>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</si>
  <si>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</si>
  <si>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</si>
  <si>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</si>
  <si>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</si>
  <si>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</si>
  <si>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</si>
  <si>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</si>
  <si>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</si>
  <si>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</si>
  <si>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</si>
  <si>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</si>
  <si>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</si>
  <si>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</si>
  <si>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</si>
  <si>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</si>
  <si>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</si>
  <si>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</si>
  <si>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</si>
  <si>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</si>
  <si>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</si>
  <si>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</si>
  <si>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</si>
  <si>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</si>
  <si>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</si>
  <si>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</si>
  <si>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</si>
  <si>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</si>
  <si>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</si>
  <si>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</si>
  <si>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</si>
  <si>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</si>
  <si>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</si>
  <si>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</si>
  <si>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</si>
  <si>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</si>
  <si>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</si>
  <si>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</si>
  <si>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</si>
  <si>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</si>
  <si>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</si>
  <si>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</si>
  <si>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</si>
  <si>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</si>
  <si>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</si>
  <si>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</si>
  <si>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</si>
  <si>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</si>
  <si>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</si>
  <si>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</si>
  <si>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</si>
  <si>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</si>
  <si>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</si>
  <si>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</si>
  <si>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</si>
  <si>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</si>
  <si>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</si>
  <si>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</si>
  <si>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</si>
  <si>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</si>
  <si>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</si>
  <si>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</si>
  <si>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</si>
  <si>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</si>
  <si>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</si>
  <si>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</si>
  <si>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</si>
  <si>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</si>
  <si>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</si>
  <si>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</si>
  <si>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</si>
  <si>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</si>
  <si>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</si>
  <si>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</si>
  <si>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</si>
  <si>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</si>
  <si>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</si>
  <si>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</si>
  <si>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</si>
  <si>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</si>
  <si>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</si>
  <si>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</si>
  <si>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</si>
  <si>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</si>
  <si>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</si>
  <si>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</si>
  <si>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</si>
  <si>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</si>
  <si>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</si>
  <si>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</si>
  <si>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</si>
  <si>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</si>
  <si>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</si>
  <si>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</si>
  <si>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</si>
  <si>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</si>
  <si>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</si>
  <si>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</si>
  <si>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</si>
  <si>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</si>
  <si>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</si>
  <si>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</si>
  <si>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</si>
  <si>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</si>
  <si>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</si>
  <si>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</si>
  <si>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</si>
  <si>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</si>
  <si>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</si>
  <si>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</si>
  <si>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</si>
  <si>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</si>
  <si>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</si>
  <si>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</si>
  <si>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</si>
  <si>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</si>
  <si>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</si>
  <si>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</si>
  <si>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</si>
  <si>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</si>
  <si>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</si>
  <si>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</si>
  <si>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</si>
  <si>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</si>
  <si>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</si>
  <si>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</si>
  <si>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</si>
  <si>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</si>
  <si>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</si>
  <si>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</si>
  <si>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</si>
  <si>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</si>
  <si>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</si>
  <si>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</si>
  <si>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</si>
  <si>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</si>
  <si>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</si>
  <si>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</si>
  <si>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</si>
  <si>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</si>
  <si>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</si>
  <si>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</si>
  <si>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</si>
  <si>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</si>
  <si>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</si>
  <si>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</si>
  <si>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</si>
  <si>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</si>
  <si>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</si>
  <si>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</si>
  <si>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</si>
  <si>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</si>
  <si>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</si>
  <si>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</si>
  <si>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</si>
  <si>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</si>
  <si>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</si>
  <si>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</si>
  <si>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</si>
  <si>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</si>
  <si>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</si>
  <si>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</si>
  <si>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</si>
  <si>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</si>
  <si>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</si>
  <si>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</si>
  <si>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</si>
  <si>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</si>
  <si>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</si>
  <si>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</si>
  <si>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</si>
  <si>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</si>
  <si>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</si>
  <si>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</si>
  <si>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</si>
  <si>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</si>
  <si>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</si>
  <si>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</si>
  <si>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</si>
  <si>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</si>
  <si>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</si>
  <si>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</si>
  <si>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</si>
  <si>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</si>
  <si>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</si>
  <si>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</si>
  <si>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</si>
  <si>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</si>
  <si>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</si>
  <si>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</si>
  <si>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</si>
  <si>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</si>
  <si>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</si>
  <si>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</si>
  <si>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</si>
  <si>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</si>
  <si>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</si>
  <si>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</si>
  <si>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</si>
  <si>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</si>
  <si>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</si>
  <si>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</si>
  <si>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</si>
  <si>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</si>
  <si>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</si>
  <si>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</si>
  <si>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</si>
  <si>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</si>
  <si>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</si>
  <si>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</si>
  <si>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</si>
  <si>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</si>
  <si>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</si>
  <si>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</si>
  <si>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</si>
  <si>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</si>
  <si>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</si>
  <si>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</si>
  <si>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</si>
  <si>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</si>
  <si>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</si>
  <si>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</si>
  <si>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</si>
  <si>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</si>
  <si>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</si>
  <si>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</si>
  <si>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</si>
  <si>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</si>
  <si>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</si>
  <si>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</si>
  <si>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</si>
  <si>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</si>
  <si>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</si>
  <si>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</si>
  <si>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</si>
  <si>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</si>
  <si>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</si>
  <si>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</si>
  <si>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</si>
  <si>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</si>
  <si>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</si>
  <si>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</si>
  <si>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</si>
  <si>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</si>
  <si>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</si>
  <si>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</si>
  <si>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</si>
  <si>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</si>
  <si>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</si>
  <si>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</si>
  <si>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</si>
  <si>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</si>
  <si>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</si>
  <si>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</si>
  <si>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</si>
  <si>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</si>
  <si>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</si>
  <si>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</si>
  <si>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</si>
  <si>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</si>
  <si>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</si>
  <si>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</si>
  <si>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</si>
  <si>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</si>
  <si>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</si>
  <si>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</si>
  <si>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</si>
  <si>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</si>
  <si>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</si>
  <si>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</si>
  <si>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</si>
  <si>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</si>
  <si>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</si>
  <si>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</si>
  <si>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</si>
  <si>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</si>
  <si>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</si>
  <si>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</si>
  <si>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</si>
  <si>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</si>
  <si>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</si>
  <si>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</si>
  <si>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</si>
  <si>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</si>
  <si>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</si>
  <si>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</si>
  <si>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</si>
  <si>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</si>
  <si>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</si>
  <si>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</si>
  <si>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</si>
  <si>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</si>
  <si>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</si>
  <si>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</si>
  <si>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</si>
  <si>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</si>
  <si>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</si>
  <si>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</si>
  <si>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</si>
  <si>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</si>
  <si>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</si>
  <si>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</si>
  <si>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</si>
  <si>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</si>
  <si>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</si>
  <si>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</si>
  <si>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</si>
  <si>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</si>
  <si>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</si>
  <si>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</si>
  <si>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</si>
  <si>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</si>
  <si>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</si>
  <si>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</si>
  <si>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</si>
  <si>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</si>
  <si>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</si>
  <si>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</si>
  <si>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</si>
  <si>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</si>
  <si>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</si>
  <si>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</si>
  <si>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</si>
  <si>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</si>
  <si>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</si>
  <si>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</si>
  <si>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</si>
  <si>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</si>
  <si>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</si>
  <si>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</si>
  <si>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</si>
  <si>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</si>
  <si>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</si>
  <si>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</si>
  <si>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</si>
  <si>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</si>
  <si>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</si>
  <si>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</si>
  <si>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</si>
  <si>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</si>
  <si>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</si>
  <si>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</si>
  <si>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</si>
  <si>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</si>
  <si>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</si>
  <si>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</si>
  <si>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</si>
  <si>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</si>
  <si>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</si>
  <si>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</si>
  <si>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</si>
  <si>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</si>
  <si>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</si>
  <si>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</si>
  <si>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</si>
  <si>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</si>
  <si>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</si>
  <si>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</si>
  <si>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</si>
  <si>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</si>
  <si>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</si>
  <si>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</si>
  <si>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</si>
  <si>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</si>
  <si>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</si>
  <si>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</si>
  <si>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</si>
  <si>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</si>
  <si>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</si>
  <si>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</si>
  <si>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</si>
  <si>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</si>
  <si>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</si>
  <si>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</si>
  <si>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</si>
  <si>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</si>
  <si>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</si>
  <si>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</si>
  <si>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</si>
  <si>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</si>
  <si>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</si>
  <si>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</si>
  <si>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</si>
  <si>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</si>
  <si>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</si>
  <si>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</si>
  <si>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</si>
  <si>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</si>
  <si>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</si>
  <si>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</si>
  <si>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</si>
  <si>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</si>
  <si>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</si>
  <si>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</si>
  <si>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</si>
  <si>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</si>
  <si>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</si>
  <si>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</si>
  <si>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</si>
  <si>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</si>
  <si>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</si>
  <si>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</si>
  <si>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</si>
  <si>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</si>
  <si>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</si>
  <si>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</si>
  <si>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</si>
  <si>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</si>
  <si>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</si>
  <si>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</si>
  <si>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</si>
  <si>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</si>
  <si>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</si>
  <si>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</si>
  <si>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</si>
  <si>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</si>
  <si>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</si>
  <si>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</si>
  <si>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</si>
  <si>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</si>
  <si>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</si>
  <si>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</si>
  <si>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</si>
  <si>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</si>
  <si>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</si>
  <si>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</si>
  <si>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</si>
  <si>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</si>
  <si>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</si>
  <si>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</si>
  <si>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</si>
  <si>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</si>
  <si>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</si>
  <si>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</si>
  <si>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</si>
  <si>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</si>
  <si>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</si>
  <si>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</si>
  <si>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</si>
  <si>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</si>
  <si>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</si>
  <si>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</si>
  <si>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</si>
  <si>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</si>
  <si>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</si>
  <si>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</si>
  <si>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</si>
  <si>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</si>
  <si>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</si>
  <si>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</si>
  <si>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</si>
  <si>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</si>
  <si>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</si>
  <si>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</si>
  <si>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</si>
  <si>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</si>
  <si>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</si>
  <si>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</si>
  <si>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</si>
  <si>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</si>
  <si>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</si>
  <si>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</si>
  <si>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</si>
  <si>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</si>
  <si>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</si>
  <si>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</si>
  <si>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</si>
  <si>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</si>
  <si>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</si>
  <si>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</si>
  <si>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</si>
  <si>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</si>
  <si>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</si>
  <si>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</si>
  <si>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</si>
  <si>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</si>
  <si>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</si>
  <si>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</si>
  <si>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</si>
  <si>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</si>
  <si>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</si>
  <si>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</si>
  <si>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</si>
  <si>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</si>
  <si>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</si>
  <si>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</si>
  <si>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</si>
  <si>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</si>
  <si>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</si>
  <si>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</si>
  <si>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</si>
  <si>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</si>
  <si>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</si>
  <si>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</si>
  <si>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</si>
  <si>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</si>
  <si>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</si>
  <si>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</si>
  <si>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</si>
  <si>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</si>
  <si>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</si>
  <si>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</si>
  <si>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</si>
  <si>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</si>
  <si>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</si>
  <si>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</si>
  <si>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</si>
  <si>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</si>
  <si>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</si>
  <si>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</si>
  <si>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</si>
  <si>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</si>
  <si>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</si>
  <si>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</si>
  <si>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</si>
  <si>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</si>
  <si>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</si>
  <si>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</si>
  <si>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</si>
  <si>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</si>
  <si>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</si>
  <si>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</si>
  <si>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</si>
  <si>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</si>
  <si>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</si>
  <si>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</si>
  <si>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</si>
  <si>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</si>
  <si>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</si>
  <si>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</si>
  <si>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</si>
  <si>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</si>
  <si>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</si>
  <si>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</si>
  <si>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</si>
  <si>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</si>
  <si>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</si>
  <si>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</si>
  <si>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</si>
  <si>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</si>
  <si>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</si>
  <si>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</si>
  <si>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</si>
  <si>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</si>
  <si>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</si>
  <si>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</si>
  <si>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</si>
  <si>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</si>
  <si>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</si>
  <si>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</si>
  <si>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</si>
  <si>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</si>
  <si>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</si>
  <si>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</si>
  <si>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</si>
  <si>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</si>
  <si>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</si>
  <si>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</si>
  <si>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</si>
  <si>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</si>
  <si>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</si>
  <si>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</si>
  <si>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</si>
  <si>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</si>
  <si>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</si>
  <si>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</si>
  <si>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</si>
  <si>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</si>
  <si>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</si>
  <si>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</si>
  <si>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</si>
  <si>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</si>
  <si>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</si>
  <si>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</si>
  <si>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</si>
  <si>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</si>
  <si>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</si>
  <si>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</si>
  <si>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</si>
  <si>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</si>
  <si>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</si>
  <si>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</si>
  <si>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</si>
  <si>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</si>
  <si>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</si>
  <si>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</si>
  <si>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</si>
  <si>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</si>
  <si>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</si>
  <si>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</si>
  <si>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</si>
  <si>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</si>
  <si>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</si>
  <si>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</si>
  <si>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</si>
  <si>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</si>
  <si>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</si>
  <si>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</si>
  <si>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</si>
  <si>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</si>
  <si>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</si>
  <si>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</si>
  <si>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</si>
  <si>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</si>
  <si>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</si>
  <si>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</si>
  <si>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</si>
  <si>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</si>
  <si>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</si>
  <si>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</si>
  <si>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</si>
  <si>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</si>
  <si>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</si>
  <si>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</si>
  <si>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</si>
  <si>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</si>
  <si>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</si>
  <si>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</si>
  <si>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</si>
  <si>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</si>
  <si>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</si>
  <si>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</si>
  <si>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</si>
  <si>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</si>
  <si>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</si>
  <si>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</si>
  <si>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</si>
  <si>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</si>
  <si>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</si>
  <si>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</si>
  <si>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</si>
  <si>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</si>
  <si>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</si>
  <si>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</si>
  <si>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</si>
  <si>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</si>
  <si>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</si>
  <si>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</si>
  <si>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</si>
  <si>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</si>
  <si>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</si>
  <si>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</si>
  <si>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</si>
  <si>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</si>
  <si>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</si>
  <si>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</si>
  <si>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</si>
  <si>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</si>
  <si>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</si>
  <si>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</si>
  <si>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</si>
  <si>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</si>
  <si>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</si>
  <si>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</si>
  <si>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</si>
  <si>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</si>
  <si>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</si>
  <si>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</si>
  <si>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</si>
  <si>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</si>
  <si>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</si>
  <si>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</si>
  <si>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</si>
  <si>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</si>
  <si>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</si>
  <si>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</si>
  <si>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</si>
  <si>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</si>
  <si>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</si>
  <si>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</si>
  <si>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</si>
  <si>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</si>
  <si>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</si>
  <si>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</si>
  <si>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</si>
  <si>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</si>
  <si>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</si>
  <si>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</si>
  <si>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</si>
  <si>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</si>
  <si>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</si>
  <si>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</si>
  <si>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</si>
  <si>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</si>
  <si>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</si>
  <si>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</si>
  <si>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</si>
  <si>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</si>
  <si>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</si>
  <si>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</si>
  <si>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</si>
  <si>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</si>
  <si>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</si>
  <si>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</si>
  <si>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</si>
  <si>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</si>
  <si>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</si>
  <si>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</si>
  <si>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</si>
  <si>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</si>
  <si>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</si>
  <si>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</si>
  <si>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</si>
  <si>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</si>
  <si>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</si>
  <si>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</si>
  <si>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</si>
  <si>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</si>
  <si>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</si>
  <si>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</si>
  <si>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</si>
  <si>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</si>
  <si>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</si>
  <si>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</si>
  <si>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</si>
  <si>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</si>
  <si>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</si>
  <si>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</si>
  <si>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</si>
  <si>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</si>
  <si>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</si>
  <si>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</si>
  <si>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</si>
  <si>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</si>
  <si>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</si>
  <si>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</si>
  <si>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</si>
  <si>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</si>
  <si>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</si>
  <si>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</si>
  <si>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</si>
  <si>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</si>
  <si>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</si>
  <si>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</si>
  <si>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</si>
  <si>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</si>
  <si>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</si>
  <si>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</si>
  <si>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</si>
  <si>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</si>
  <si>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</si>
  <si>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</si>
  <si>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</si>
  <si>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</si>
  <si>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</si>
  <si>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</si>
  <si>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</si>
  <si>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</si>
  <si>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</si>
  <si>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</si>
  <si>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</si>
  <si>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</si>
  <si>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</si>
  <si>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</si>
  <si>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</si>
  <si>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</si>
  <si>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</si>
  <si>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</si>
  <si>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</si>
  <si>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</si>
  <si>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</si>
  <si>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</si>
  <si>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</si>
  <si>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</si>
  <si>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</si>
  <si>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</si>
  <si>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</si>
  <si>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</si>
  <si>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</si>
  <si>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</si>
  <si>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</si>
  <si>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</si>
  <si>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</si>
  <si>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</si>
  <si>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</si>
  <si>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</si>
  <si>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</si>
  <si>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</si>
  <si>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</si>
  <si>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</si>
  <si>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</si>
  <si>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</si>
  <si>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</si>
  <si>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</si>
  <si>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</si>
  <si>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</si>
  <si>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</si>
  <si>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</si>
  <si>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</si>
  <si>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</si>
  <si>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</si>
  <si>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</si>
  <si>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</si>
  <si>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</si>
  <si>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</si>
  <si>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</si>
  <si>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</si>
  <si>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</si>
  <si>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</si>
  <si>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</si>
  <si>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</si>
  <si>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</si>
  <si>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</si>
  <si>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</si>
  <si>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</si>
  <si>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</si>
  <si>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</si>
  <si>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</si>
  <si>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</si>
  <si>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</si>
  <si>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</si>
  <si>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</si>
  <si>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</si>
  <si>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</si>
  <si>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</si>
  <si>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</si>
  <si>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</si>
  <si>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</si>
  <si>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</si>
  <si>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</si>
  <si>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</si>
  <si>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</si>
  <si>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</si>
  <si>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</si>
  <si>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</si>
  <si>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</si>
  <si>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</si>
  <si>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</si>
  <si>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</si>
  <si>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</si>
  <si>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</si>
  <si>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</si>
  <si>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</si>
  <si>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</si>
  <si>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</si>
  <si>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</si>
  <si>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</si>
  <si>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</si>
  <si>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</si>
  <si>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</si>
  <si>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</si>
  <si>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</si>
  <si>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</si>
  <si>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</si>
  <si>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</si>
  <si>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</si>
  <si>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</si>
  <si>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</si>
  <si>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</si>
  <si>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</si>
  <si>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</si>
  <si>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</si>
  <si>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</si>
  <si>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</si>
  <si>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</si>
  <si>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</si>
  <si>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</si>
  <si>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</si>
  <si>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</si>
  <si>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</si>
  <si>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</si>
  <si>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</si>
  <si>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</si>
  <si>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</si>
  <si>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</si>
  <si>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</si>
  <si>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</si>
  <si>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</si>
  <si>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</si>
  <si>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</si>
  <si>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</si>
  <si>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</si>
  <si>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</si>
  <si>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</si>
  <si>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</si>
  <si>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</si>
  <si>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</si>
  <si>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</si>
  <si>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</si>
  <si>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</si>
  <si>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</si>
  <si>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</si>
  <si>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</si>
  <si>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</si>
  <si>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</si>
  <si>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</si>
  <si>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</si>
  <si>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</si>
  <si>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</si>
  <si>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</si>
  <si>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</si>
  <si>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</si>
  <si>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</si>
  <si>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</si>
  <si>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</si>
  <si>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</si>
  <si>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</si>
  <si>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</si>
  <si>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</si>
  <si>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</si>
  <si>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</si>
  <si>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</si>
  <si>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</si>
  <si>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</si>
  <si>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</si>
  <si>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</si>
  <si>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</si>
  <si>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</si>
  <si>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</si>
  <si>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</si>
  <si>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</si>
  <si>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</si>
  <si>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</si>
  <si>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</si>
  <si>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</si>
  <si>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</si>
  <si>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</si>
  <si>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</si>
  <si>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</si>
  <si>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</si>
  <si>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</si>
  <si>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</si>
  <si>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</si>
  <si>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</si>
  <si>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</si>
  <si>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</si>
  <si>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</si>
  <si>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</si>
  <si>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</si>
  <si>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</si>
  <si>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</si>
  <si>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</si>
  <si>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</si>
  <si>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</si>
  <si>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</si>
  <si>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</si>
  <si>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</si>
  <si>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</si>
  <si>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</si>
  <si>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</si>
  <si>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</si>
  <si>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</si>
  <si>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</si>
  <si>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</si>
  <si>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</si>
  <si>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</si>
  <si>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</si>
  <si>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</si>
  <si>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</si>
  <si>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</si>
  <si>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</si>
  <si>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</si>
  <si>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</si>
  <si>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</si>
  <si>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</si>
  <si>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</si>
  <si>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</si>
  <si>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</si>
  <si>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</si>
  <si>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</si>
  <si>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</si>
  <si>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</si>
  <si>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</si>
  <si>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</si>
  <si>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</si>
  <si>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</si>
  <si>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</si>
  <si>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</si>
  <si>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</si>
  <si>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</si>
  <si>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</si>
  <si>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</si>
  <si>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</si>
  <si>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</si>
  <si>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</si>
  <si>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</si>
  <si>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</si>
  <si>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</si>
  <si>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</si>
  <si>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</si>
  <si>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</si>
  <si>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</si>
  <si>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</si>
  <si>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</si>
  <si>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</si>
  <si>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</si>
  <si>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</si>
  <si>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</si>
  <si>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</si>
  <si>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</si>
  <si>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</si>
  <si>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</si>
  <si>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</si>
  <si>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</si>
  <si>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</si>
  <si>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</si>
  <si>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</si>
  <si>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</si>
  <si>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</si>
  <si>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</si>
  <si>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</si>
  <si>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</si>
  <si>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</si>
  <si>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</si>
  <si>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</si>
  <si>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</si>
  <si>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</si>
  <si>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</si>
  <si>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</si>
  <si>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</si>
  <si>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</si>
  <si>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</si>
  <si>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</si>
  <si>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</si>
  <si>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</si>
  <si>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</si>
  <si>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</si>
  <si>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</si>
  <si>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</si>
  <si>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</si>
  <si>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</si>
  <si>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</si>
  <si>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</si>
  <si>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</si>
  <si>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</si>
  <si>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</si>
  <si>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</si>
  <si>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</si>
  <si>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</si>
  <si>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</si>
  <si>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</si>
  <si>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</si>
  <si>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</si>
  <si>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</si>
  <si>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</si>
  <si>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</si>
  <si>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</si>
  <si>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</si>
  <si>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</si>
  <si>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</si>
  <si>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</si>
  <si>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</si>
  <si>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</si>
  <si>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</si>
  <si>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</si>
  <si>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</si>
  <si>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</si>
  <si>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</si>
  <si>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</si>
  <si>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</si>
  <si>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</si>
  <si>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</si>
  <si>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</si>
  <si>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</si>
  <si>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</si>
  <si>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</si>
  <si>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</si>
  <si>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</si>
  <si>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</si>
  <si>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</si>
  <si>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</si>
  <si>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</si>
  <si>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</si>
  <si>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</si>
  <si>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</si>
  <si>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</si>
  <si>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</si>
  <si>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</si>
  <si>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</si>
  <si>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</si>
  <si>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</si>
  <si>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</si>
  <si>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</si>
  <si>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</si>
  <si>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</si>
  <si>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</si>
  <si>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</si>
  <si>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</si>
  <si>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</si>
  <si>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</si>
  <si>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</si>
  <si>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</si>
  <si>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</si>
  <si>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</si>
  <si>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</si>
  <si>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</si>
  <si>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</si>
  <si>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</si>
  <si>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</si>
  <si>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</si>
  <si>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</si>
  <si>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</si>
  <si>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</si>
  <si>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</si>
  <si>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</si>
  <si>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</si>
  <si>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</si>
  <si>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</si>
  <si>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</si>
  <si>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</si>
  <si>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</si>
  <si>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</si>
  <si>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</si>
  <si>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</si>
  <si>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</si>
  <si>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</si>
  <si>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</si>
  <si>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</si>
  <si>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</si>
  <si>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</si>
  <si>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</si>
  <si>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</si>
  <si>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</si>
  <si>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</si>
  <si>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</si>
  <si>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</si>
  <si>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</si>
  <si>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</si>
  <si>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</si>
  <si>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</si>
  <si>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</si>
  <si>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</si>
  <si>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</si>
  <si>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</si>
  <si>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</si>
  <si>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</si>
  <si>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</si>
  <si>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</si>
  <si>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</si>
  <si>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</si>
  <si>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</si>
  <si>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</si>
  <si>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</si>
  <si>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</si>
  <si>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</si>
  <si>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</si>
  <si>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</si>
  <si>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</si>
  <si>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</si>
  <si>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</si>
  <si>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</si>
  <si>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</si>
  <si>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</si>
  <si>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</si>
  <si>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</si>
  <si>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</si>
  <si>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</si>
  <si>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</si>
  <si>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</si>
  <si>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</si>
  <si>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</si>
  <si>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</si>
  <si>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</si>
  <si>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</si>
  <si>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</si>
  <si>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</si>
  <si>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</si>
  <si>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</si>
  <si>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</si>
  <si>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</si>
  <si>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</si>
  <si>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</si>
  <si>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</si>
  <si>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</si>
  <si>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</si>
  <si>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</si>
  <si>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</si>
  <si>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</si>
  <si>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</si>
  <si>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</si>
  <si>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</si>
  <si>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</si>
  <si>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</si>
  <si>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</si>
  <si>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</si>
  <si>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</si>
  <si>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</si>
  <si>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</si>
  <si>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</si>
  <si>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</si>
  <si>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</si>
  <si>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</si>
  <si>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</si>
  <si>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</si>
  <si>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</si>
  <si>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</si>
  <si>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</si>
  <si>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</si>
  <si>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</si>
  <si>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</si>
  <si>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</si>
  <si>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</si>
  <si>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</si>
  <si>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</si>
  <si>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</si>
  <si>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</si>
  <si>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</si>
  <si>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</si>
  <si>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</si>
  <si>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</si>
  <si>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</si>
  <si>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</si>
  <si>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</si>
  <si>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</si>
  <si>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</si>
  <si>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</si>
  <si>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</si>
  <si>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</si>
  <si>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</si>
  <si>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</si>
  <si>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</si>
  <si>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</si>
  <si>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</si>
  <si>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</si>
  <si>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</si>
  <si>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</si>
  <si>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</si>
  <si>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</si>
  <si>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</si>
  <si>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</si>
  <si>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</si>
  <si>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</si>
  <si>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</si>
  <si>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</si>
  <si>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</si>
  <si>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</si>
  <si>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</si>
  <si>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</si>
  <si>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</si>
  <si>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</si>
  <si>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</si>
  <si>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</si>
  <si>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</si>
  <si>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</si>
  <si>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</si>
  <si>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</si>
  <si>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</si>
  <si>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</si>
  <si>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</si>
  <si>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</si>
  <si>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</si>
  <si>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</si>
  <si>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</si>
  <si>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</si>
  <si>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</si>
  <si>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</si>
  <si>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</si>
  <si>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</si>
  <si>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</si>
  <si>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</si>
  <si>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</si>
  <si>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</si>
  <si>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</si>
  <si>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</si>
  <si>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</si>
  <si>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</si>
  <si>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</si>
  <si>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</si>
  <si>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</si>
  <si>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</si>
  <si>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</si>
  <si>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</si>
  <si>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</si>
  <si>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</si>
  <si>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</si>
  <si>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</si>
  <si>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</si>
  <si>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</si>
  <si>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</si>
  <si>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</si>
  <si>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</si>
  <si>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</si>
  <si>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</si>
  <si>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</si>
  <si>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</si>
  <si>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</si>
  <si>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</si>
  <si>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</si>
  <si>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</si>
  <si>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</si>
  <si>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</si>
  <si>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</si>
  <si>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</si>
  <si>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</si>
  <si>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</si>
  <si>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</si>
  <si>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</si>
  <si>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</si>
  <si>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</si>
  <si>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</si>
  <si>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</si>
  <si>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</si>
  <si>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</si>
  <si>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</si>
  <si>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</si>
  <si>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</si>
  <si>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</si>
  <si>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</si>
  <si>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</si>
  <si>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</si>
  <si>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</si>
  <si>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</si>
  <si>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</si>
  <si>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</si>
  <si>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</si>
  <si>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</si>
  <si>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</si>
  <si>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</si>
  <si>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</si>
  <si>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</si>
  <si>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</si>
  <si>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</si>
  <si>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</si>
  <si>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</si>
  <si>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</si>
  <si>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</si>
  <si>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</si>
  <si>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</si>
  <si>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</si>
  <si>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</si>
  <si>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</si>
  <si>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</si>
  <si>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</si>
  <si>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</si>
  <si>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</si>
  <si>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</si>
  <si>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</si>
  <si>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</si>
  <si>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</si>
  <si>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</si>
  <si>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</si>
  <si>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</si>
  <si>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</si>
  <si>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</si>
  <si>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</si>
  <si>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</si>
  <si>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</si>
  <si>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</si>
  <si>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</si>
  <si>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</si>
  <si>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</si>
  <si>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</si>
  <si>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</si>
  <si>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</si>
  <si>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</si>
  <si>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</si>
  <si>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</si>
  <si>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</si>
  <si>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</si>
  <si>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</si>
  <si>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</si>
  <si>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</si>
  <si>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</si>
  <si>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</si>
  <si>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</si>
  <si>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</si>
  <si>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</si>
  <si>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</si>
  <si>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</si>
  <si>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</si>
  <si>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</si>
  <si>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</si>
  <si>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</si>
  <si>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</si>
  <si>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</si>
  <si>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</si>
  <si>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</si>
  <si>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</si>
  <si>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</si>
  <si>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</si>
  <si>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</si>
  <si>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</si>
  <si>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</si>
  <si>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</si>
  <si>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</si>
  <si>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</si>
  <si>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</si>
  <si>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</si>
  <si>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</si>
  <si>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</si>
  <si>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</si>
  <si>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</si>
  <si>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</si>
  <si>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</si>
  <si>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</si>
  <si>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</si>
  <si>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</si>
  <si>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</si>
  <si>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</si>
  <si>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</si>
  <si>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</si>
  <si>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</si>
  <si>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</si>
  <si>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</si>
  <si>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</si>
  <si>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</si>
  <si>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</si>
  <si>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</si>
  <si>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</si>
  <si>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</si>
  <si>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</si>
  <si>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</si>
  <si>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</si>
  <si>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</si>
  <si>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</si>
  <si>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</si>
  <si>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</si>
  <si>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</si>
  <si>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</si>
  <si>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</si>
  <si>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</si>
  <si>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</si>
  <si>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</si>
  <si>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</si>
  <si>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</si>
  <si>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</si>
  <si>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</si>
  <si>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</si>
  <si>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</si>
  <si>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</si>
  <si>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</si>
  <si>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</si>
  <si>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</si>
  <si>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</si>
  <si>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</si>
  <si>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</si>
  <si>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</si>
  <si>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</si>
  <si>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</si>
  <si>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</si>
  <si>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</si>
  <si>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</si>
  <si>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</si>
  <si>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</si>
  <si>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</si>
  <si>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</si>
  <si>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</si>
  <si>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</si>
  <si>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</si>
  <si>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</si>
  <si>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</si>
  <si>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</si>
  <si>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</si>
  <si>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</si>
  <si>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</si>
  <si>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</si>
  <si>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</si>
  <si>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</si>
  <si>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</si>
  <si>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</si>
  <si>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</si>
  <si>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</si>
  <si>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</si>
  <si>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</si>
  <si>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</si>
  <si>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</si>
  <si>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</si>
  <si>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</si>
  <si>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</si>
  <si>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</si>
  <si>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</si>
  <si>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</si>
  <si>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</si>
  <si>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</si>
  <si>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</si>
  <si>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</si>
  <si>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</si>
  <si>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</si>
  <si>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</si>
  <si>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</si>
  <si>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</si>
  <si>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</si>
  <si>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</si>
  <si>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</si>
  <si>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</si>
  <si>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</si>
  <si>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</si>
  <si>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</si>
  <si>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</si>
  <si>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</si>
  <si>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</si>
  <si>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</si>
  <si>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</si>
  <si>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</si>
  <si>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</si>
  <si>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</si>
  <si>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</si>
  <si>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</si>
  <si>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</si>
  <si>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</si>
  <si>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</si>
  <si>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</si>
  <si>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</si>
  <si>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</si>
  <si>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</si>
  <si>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</si>
  <si>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</si>
  <si>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</si>
  <si>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</si>
  <si>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</si>
  <si>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</si>
  <si>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</si>
  <si>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</si>
  <si>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</si>
  <si>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</si>
  <si>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</si>
  <si>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</si>
  <si>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</si>
  <si>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</si>
  <si>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</si>
  <si>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</si>
  <si>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</si>
  <si>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</si>
  <si>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</si>
  <si>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</si>
  <si>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</si>
  <si>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</si>
  <si>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</si>
  <si>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</si>
  <si>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</si>
  <si>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</si>
  <si>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</si>
  <si>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</si>
  <si>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</si>
  <si>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</si>
  <si>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</si>
  <si>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</si>
  <si>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</si>
  <si>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</si>
  <si>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</si>
  <si>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</si>
  <si>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</si>
  <si>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</si>
  <si>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</si>
  <si>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</si>
  <si>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</si>
  <si>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</si>
  <si>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</si>
  <si>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</si>
  <si>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</si>
  <si>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</si>
  <si>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</si>
  <si>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</si>
  <si>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</si>
  <si>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</si>
  <si>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</si>
  <si>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</si>
  <si>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</si>
  <si>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</si>
  <si>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</si>
  <si>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</si>
  <si>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</si>
  <si>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</si>
  <si>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</si>
  <si>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</si>
  <si>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</si>
  <si>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</si>
  <si>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</si>
  <si>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</si>
  <si>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</si>
  <si>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</si>
  <si>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</si>
  <si>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</si>
  <si>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</si>
  <si>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</si>
  <si>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</si>
  <si>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</si>
  <si>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</si>
  <si>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</si>
  <si>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</si>
  <si>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</si>
  <si>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</si>
  <si>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</si>
  <si>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</si>
  <si>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</si>
  <si>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</si>
  <si>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</si>
  <si>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</si>
  <si>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</si>
  <si>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</si>
  <si>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</si>
  <si>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</si>
  <si>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</si>
  <si>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</si>
  <si>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</si>
  <si>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</si>
  <si>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</si>
  <si>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</si>
  <si>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</si>
  <si>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</si>
  <si>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</si>
  <si>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</si>
  <si>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</si>
  <si>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</si>
  <si>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</si>
  <si>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</si>
  <si>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</si>
  <si>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</si>
  <si>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</si>
  <si>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</si>
  <si>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</si>
  <si>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</si>
  <si>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</si>
  <si>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</si>
  <si>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</si>
  <si>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</si>
  <si>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</si>
  <si>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</si>
  <si>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</si>
  <si>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</si>
  <si>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</si>
  <si>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</si>
  <si>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</si>
  <si>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</si>
  <si>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</si>
  <si>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</si>
  <si>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</si>
  <si>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</si>
  <si>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</si>
  <si>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</si>
  <si>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</si>
  <si>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</si>
  <si>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</si>
  <si>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</si>
  <si>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</si>
  <si>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</si>
  <si>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</si>
  <si>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</si>
  <si>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</si>
  <si>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</si>
  <si>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</si>
  <si>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</si>
  <si>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</si>
  <si>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</si>
  <si>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</si>
  <si>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</si>
  <si>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</si>
  <si>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</si>
  <si>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</si>
  <si>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</si>
  <si>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</si>
  <si>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</si>
  <si>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</si>
  <si>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</si>
  <si>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</si>
  <si>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</si>
  <si>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</si>
  <si>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</si>
  <si>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</si>
  <si>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</si>
  <si>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</si>
  <si>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</si>
  <si>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</si>
  <si>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</si>
  <si>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</si>
  <si>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</si>
  <si>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</si>
  <si>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</si>
  <si>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</si>
  <si>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</si>
  <si>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</si>
  <si>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</si>
  <si>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</si>
  <si>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</si>
  <si>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</si>
  <si>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</si>
  <si>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</si>
  <si>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</si>
  <si>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</si>
  <si>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</si>
  <si>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</si>
  <si>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</si>
  <si>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</si>
  <si>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</si>
  <si>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</si>
  <si>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</si>
  <si>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</si>
  <si>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</si>
  <si>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</si>
  <si>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</si>
  <si>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</si>
  <si>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</si>
  <si>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</si>
  <si>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</si>
  <si>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</si>
  <si>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</si>
  <si>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</si>
  <si>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</si>
  <si>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</si>
  <si>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</si>
  <si>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</si>
  <si>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</si>
  <si>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</si>
  <si>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</si>
  <si>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</si>
  <si>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</si>
  <si>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</si>
  <si>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</si>
  <si>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</si>
  <si>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</si>
  <si>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</si>
  <si>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</si>
  <si>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</si>
  <si>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</si>
  <si>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</si>
  <si>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</si>
  <si>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</si>
  <si>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</si>
  <si>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</si>
  <si>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</si>
  <si>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</si>
  <si>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</si>
  <si>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</si>
  <si>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</si>
  <si>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</si>
  <si>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</si>
  <si>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</si>
  <si>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</si>
  <si>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</si>
  <si>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</si>
  <si>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</si>
  <si>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</si>
  <si>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</si>
  <si>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</si>
  <si>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</si>
  <si>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</si>
  <si>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</si>
  <si>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</si>
  <si>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</si>
  <si>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</si>
  <si>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</si>
  <si>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</si>
  <si>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</si>
  <si>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</si>
  <si>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</si>
  <si>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</si>
  <si>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</si>
  <si>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</si>
  <si>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</si>
  <si>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</si>
  <si>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</si>
  <si>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</si>
  <si>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</si>
  <si>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</si>
  <si>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</si>
  <si>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</si>
  <si>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</si>
  <si>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</si>
  <si>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</si>
  <si>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</si>
  <si>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</si>
  <si>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</si>
  <si>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</si>
  <si>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</si>
  <si>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</si>
  <si>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</si>
  <si>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</si>
  <si>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</si>
  <si>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</si>
  <si>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</si>
  <si>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</si>
  <si>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</si>
  <si>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</si>
  <si>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</si>
  <si>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</si>
  <si>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</si>
  <si>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</si>
  <si>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</si>
  <si>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</si>
  <si>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</si>
  <si>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</si>
  <si>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</si>
  <si>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</si>
  <si>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</si>
  <si>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</si>
  <si>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</si>
  <si>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</si>
  <si>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</si>
  <si>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</si>
  <si>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</si>
  <si>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</si>
  <si>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</si>
  <si>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</si>
  <si>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</si>
  <si>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</si>
  <si>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</si>
  <si>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</si>
  <si>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</si>
  <si>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</si>
  <si>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</si>
  <si>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</si>
  <si>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</si>
  <si>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</si>
  <si>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</si>
  <si>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</si>
  <si>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</si>
  <si>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</si>
  <si>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</si>
  <si>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</si>
  <si>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</si>
  <si>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</si>
  <si>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</si>
  <si>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</si>
  <si>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</si>
  <si>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</si>
  <si>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</si>
  <si>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</si>
  <si>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</si>
  <si>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</si>
  <si>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</si>
  <si>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</si>
  <si>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</si>
  <si>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</si>
  <si>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</si>
  <si>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</si>
  <si>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</si>
  <si>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</si>
  <si>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</si>
  <si>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</si>
  <si>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</si>
  <si>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</si>
  <si>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</si>
  <si>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</si>
  <si>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</si>
  <si>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</si>
  <si>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</si>
  <si>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</si>
  <si>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</si>
  <si>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</si>
  <si>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</si>
  <si>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</si>
  <si>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</si>
  <si>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</si>
  <si>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</si>
  <si>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</si>
  <si>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</si>
  <si>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</si>
  <si>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</si>
  <si>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</si>
  <si>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</si>
  <si>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</si>
  <si>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</si>
  <si>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</si>
  <si>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</si>
  <si>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</si>
  <si>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</si>
  <si>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</si>
  <si>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</si>
  <si>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</si>
  <si>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</si>
  <si>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</si>
  <si>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</si>
  <si>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</si>
  <si>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</si>
  <si>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</si>
  <si>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</si>
  <si>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</si>
  <si>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</si>
  <si>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</si>
  <si>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</si>
  <si>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</si>
  <si>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</si>
  <si>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</si>
  <si>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</si>
  <si>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</si>
  <si>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</si>
  <si>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</si>
  <si>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</si>
  <si>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</si>
  <si>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</si>
  <si>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</si>
  <si>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</si>
  <si>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</si>
  <si>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</si>
  <si>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</si>
  <si>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</si>
  <si>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</si>
  <si>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</si>
  <si>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</si>
  <si>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</si>
  <si>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</si>
  <si>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</si>
  <si>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</si>
  <si>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</si>
  <si>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</si>
  <si>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</si>
  <si>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</si>
  <si>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</si>
  <si>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</si>
  <si>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</si>
  <si>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</si>
  <si>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</si>
  <si>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</si>
  <si>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</si>
  <si>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</si>
  <si>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</si>
  <si>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</si>
  <si>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</si>
  <si>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</si>
  <si>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</si>
  <si>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</si>
  <si>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</si>
  <si>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</si>
  <si>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</si>
  <si>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</si>
  <si>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</si>
  <si>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</si>
  <si>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</si>
  <si>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</si>
  <si>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</si>
  <si>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</si>
  <si>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</si>
  <si>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</si>
  <si>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</si>
  <si>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</si>
  <si>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</si>
  <si>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</si>
  <si>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</si>
  <si>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</si>
  <si>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</si>
  <si>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</si>
  <si>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</si>
  <si>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</si>
  <si>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</si>
  <si>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</si>
  <si>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</si>
  <si>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</si>
  <si>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</si>
  <si>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</si>
  <si>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</si>
  <si>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</si>
  <si>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</si>
  <si>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</si>
  <si>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</si>
  <si>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</si>
  <si>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</si>
  <si>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</si>
  <si>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</si>
  <si>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</si>
  <si>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</si>
  <si>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</si>
  <si>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</si>
  <si>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</si>
  <si>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</si>
  <si>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</si>
  <si>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</si>
  <si>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</si>
  <si>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</si>
  <si>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</si>
  <si>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</si>
  <si>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</si>
  <si>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</si>
  <si>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</si>
  <si>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</si>
  <si>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</si>
  <si>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</si>
  <si>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</si>
  <si>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</si>
  <si>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</si>
  <si>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</si>
  <si>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</si>
  <si>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</si>
  <si>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</si>
  <si>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</si>
  <si>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</si>
  <si>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</si>
  <si>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</si>
  <si>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</si>
  <si>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</si>
  <si>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</si>
  <si>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</si>
  <si>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</si>
  <si>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</si>
  <si>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</si>
  <si>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</si>
  <si>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</si>
  <si>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</si>
  <si>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</si>
  <si>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</si>
  <si>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</si>
  <si>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</si>
  <si>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</si>
  <si>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</si>
  <si>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</si>
  <si>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</si>
  <si>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</si>
  <si>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</si>
  <si>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</si>
  <si>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</si>
  <si>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</si>
  <si>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</si>
  <si>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</si>
  <si>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</si>
  <si>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</si>
  <si>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</si>
  <si>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</si>
  <si>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</si>
  <si>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</si>
  <si>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</si>
  <si>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</si>
  <si>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</si>
  <si>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</si>
  <si>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</si>
  <si>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</si>
  <si>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</si>
  <si>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</si>
  <si>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</si>
  <si>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</si>
  <si>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</si>
  <si>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</si>
  <si>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</si>
  <si>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</si>
  <si>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</si>
  <si>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</si>
  <si>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</si>
  <si>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</si>
  <si>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</si>
  <si>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</si>
  <si>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</si>
  <si>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</si>
  <si>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</si>
  <si>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</si>
  <si>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</si>
  <si>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</si>
  <si>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</si>
  <si>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</si>
  <si>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</si>
  <si>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</si>
  <si>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</si>
  <si>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</si>
  <si>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</si>
  <si>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</si>
  <si>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</si>
  <si>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</si>
  <si>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</si>
  <si>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</si>
  <si>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</si>
  <si>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</si>
  <si>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</si>
  <si>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</si>
  <si>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</si>
  <si>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</si>
  <si>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</si>
  <si>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</si>
  <si>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</si>
  <si>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</si>
  <si>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</si>
  <si>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</si>
  <si>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</si>
  <si>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</si>
  <si>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</si>
  <si>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</si>
  <si>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</si>
  <si>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</si>
  <si>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</si>
  <si>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</si>
  <si>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</si>
  <si>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</si>
  <si>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</si>
  <si>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</si>
  <si>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</si>
  <si>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</si>
  <si>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</si>
  <si>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</si>
  <si>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</si>
  <si>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</si>
  <si>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</si>
  <si>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</si>
  <si>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</si>
  <si>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</si>
  <si>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</si>
  <si>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</si>
  <si>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</si>
  <si>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</si>
  <si>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</si>
  <si>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</si>
  <si>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</si>
  <si>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</si>
  <si>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</si>
  <si>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</si>
  <si>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</si>
  <si>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</si>
  <si>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</si>
  <si>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</si>
  <si>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</si>
  <si>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</si>
  <si>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</si>
  <si>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</si>
  <si>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</si>
  <si>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</si>
  <si>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</si>
  <si>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</si>
  <si>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</si>
  <si>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</si>
  <si>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</si>
  <si>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</si>
  <si>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</si>
  <si>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</si>
  <si>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</si>
  <si>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</si>
  <si>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</si>
  <si>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</si>
  <si>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</si>
  <si>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</si>
  <si>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</si>
  <si>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</si>
  <si>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</si>
  <si>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</si>
  <si>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</si>
  <si>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</si>
  <si>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</si>
  <si>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</si>
  <si>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</si>
  <si>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</si>
  <si>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</si>
  <si>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</si>
  <si>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</si>
  <si>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</si>
  <si>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</si>
  <si>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</si>
  <si>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</si>
  <si>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</si>
  <si>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</si>
  <si>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</si>
  <si>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</si>
  <si>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</si>
  <si>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</si>
  <si>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</si>
  <si>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</si>
  <si>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</si>
  <si>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</si>
  <si>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</si>
  <si>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</si>
  <si>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</si>
  <si>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</si>
  <si>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</si>
  <si>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</si>
  <si>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</si>
  <si>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</si>
  <si>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</si>
  <si>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</si>
  <si>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</si>
  <si>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</si>
  <si>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</si>
  <si>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</si>
  <si>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</si>
  <si>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</si>
  <si>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</si>
  <si>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</si>
  <si>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</si>
  <si>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</si>
  <si>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</si>
  <si>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</si>
  <si>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</si>
  <si>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</si>
  <si>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</si>
  <si>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</si>
  <si>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</si>
  <si>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</si>
  <si>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</si>
  <si>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</si>
  <si>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</si>
  <si>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</si>
  <si>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</si>
  <si>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</si>
  <si>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</si>
  <si>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</si>
  <si>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</si>
  <si>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</si>
  <si>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</si>
  <si>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</si>
  <si>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</si>
  <si>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</si>
  <si>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</si>
  <si>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</si>
  <si>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</si>
  <si>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</si>
  <si>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</si>
  <si>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</si>
  <si>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</si>
  <si>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</si>
  <si>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</si>
  <si>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</si>
  <si>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</si>
  <si>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</si>
  <si>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</si>
  <si>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</si>
  <si>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</si>
  <si>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</si>
  <si>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</si>
  <si>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</si>
  <si>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</si>
  <si>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</si>
  <si>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</si>
  <si>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</si>
  <si>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</si>
  <si>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</si>
  <si>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</si>
  <si>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</si>
  <si>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</si>
  <si>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</si>
  <si>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</si>
  <si>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</si>
  <si>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</si>
  <si>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</si>
  <si>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</si>
  <si>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</si>
  <si>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</si>
  <si>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</si>
  <si>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</si>
  <si>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</si>
  <si>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</si>
  <si>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</si>
  <si>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</si>
  <si>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</si>
  <si>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</si>
  <si>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</si>
  <si>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</si>
  <si>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</si>
  <si>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</si>
  <si>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</si>
  <si>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</si>
  <si>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</si>
  <si>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</si>
  <si>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</si>
  <si>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</si>
  <si>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</si>
  <si>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</si>
  <si>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</si>
  <si>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</si>
  <si>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</si>
  <si>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</si>
  <si>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</si>
  <si>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</si>
  <si>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</si>
  <si>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</si>
  <si>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</si>
  <si>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</si>
  <si>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</si>
  <si>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</si>
  <si>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</si>
  <si>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</si>
  <si>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</si>
  <si>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</si>
  <si>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</si>
  <si>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</si>
  <si>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</si>
  <si>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</si>
  <si>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</si>
  <si>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</si>
  <si>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</si>
  <si>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</si>
  <si>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</si>
  <si>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</si>
  <si>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</si>
  <si>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</si>
  <si>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</si>
  <si>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</si>
  <si>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</si>
  <si>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</si>
  <si>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</si>
  <si>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</si>
  <si>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</si>
  <si>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</si>
  <si>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</si>
  <si>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</si>
  <si>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</si>
  <si>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</si>
  <si>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</si>
  <si>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</si>
  <si>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</si>
  <si>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</si>
  <si>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</si>
  <si>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</si>
  <si>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</si>
  <si>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</si>
  <si>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</si>
  <si>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</si>
  <si>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</si>
  <si>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</si>
  <si>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</si>
  <si>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</si>
  <si>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</si>
  <si>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</si>
  <si>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</si>
  <si>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</si>
  <si>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</si>
  <si>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</si>
  <si>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</si>
  <si>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</si>
  <si>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</si>
  <si>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</si>
  <si>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</si>
  <si>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</si>
  <si>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</si>
  <si>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</si>
  <si>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</si>
  <si>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</si>
  <si>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</si>
  <si>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</si>
  <si>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</si>
  <si>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</si>
  <si>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</si>
  <si>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</si>
  <si>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</si>
  <si>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</si>
  <si>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</si>
  <si>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</si>
  <si>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</si>
  <si>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</si>
  <si>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</si>
  <si>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</si>
  <si>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</si>
  <si>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</si>
  <si>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</si>
  <si>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</si>
  <si>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</si>
  <si>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</si>
  <si>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</si>
  <si>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</si>
  <si>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</si>
  <si>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</si>
  <si>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</si>
  <si>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</si>
  <si>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</si>
  <si>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</si>
  <si>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</si>
  <si>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</si>
  <si>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</si>
  <si>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</si>
  <si>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</si>
  <si>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</si>
  <si>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</si>
  <si>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</si>
  <si>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</si>
  <si>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</si>
  <si>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</si>
  <si>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</si>
  <si>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</si>
  <si>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</si>
  <si>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</si>
  <si>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</si>
  <si>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</si>
  <si>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</si>
  <si>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</si>
  <si>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</si>
  <si>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</si>
  <si>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</si>
  <si>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</si>
  <si>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</si>
  <si>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</si>
  <si>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</si>
  <si>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</si>
  <si>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</si>
  <si>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</si>
  <si>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</si>
  <si>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</si>
  <si>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</si>
  <si>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</si>
  <si>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</si>
  <si>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</si>
  <si>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</si>
  <si>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</si>
  <si>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</si>
  <si>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</si>
  <si>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</si>
  <si>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</si>
  <si>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</si>
  <si>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</si>
  <si>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</si>
  <si>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</si>
  <si>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</si>
  <si>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</si>
  <si>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</si>
  <si>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</si>
  <si>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</si>
  <si>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</si>
  <si>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</si>
  <si>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</si>
  <si>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</si>
  <si>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</si>
  <si>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</si>
  <si>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</si>
  <si>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</si>
  <si>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</si>
  <si>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</si>
  <si>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</si>
  <si>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</si>
  <si>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</si>
  <si>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</si>
  <si>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</si>
  <si>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</si>
  <si>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</si>
  <si>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</si>
  <si>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</si>
  <si>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</si>
  <si>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</si>
  <si>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</si>
  <si>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</si>
  <si>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</si>
  <si>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</si>
  <si>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</si>
  <si>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</si>
  <si>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</si>
  <si>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</si>
  <si>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</si>
  <si>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</si>
  <si>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</si>
  <si>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</si>
  <si>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</si>
  <si>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</si>
  <si>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</si>
  <si>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</si>
  <si>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</si>
  <si>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</si>
  <si>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</si>
  <si>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</si>
  <si>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</si>
  <si>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</si>
  <si>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</si>
  <si>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</si>
  <si>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</si>
  <si>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</si>
  <si>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</si>
  <si>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</si>
  <si>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</si>
  <si>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</si>
  <si>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</si>
  <si>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</si>
  <si>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</si>
  <si>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</si>
  <si>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</si>
  <si>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</si>
  <si>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</si>
  <si>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</si>
  <si>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</si>
  <si>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</si>
  <si>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</si>
  <si>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</si>
  <si>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</si>
  <si>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</si>
  <si>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</si>
  <si>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</si>
  <si>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</si>
  <si>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</si>
  <si>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</si>
  <si>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</si>
  <si>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</si>
  <si>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</si>
  <si>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</si>
  <si>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</si>
  <si>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</si>
  <si>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</si>
  <si>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</si>
  <si>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</si>
  <si>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</si>
  <si>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</si>
  <si>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</si>
  <si>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</si>
  <si>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</si>
  <si>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</si>
  <si>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</si>
  <si>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</si>
  <si>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</si>
  <si>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</si>
  <si>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</si>
  <si>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</si>
  <si>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</si>
  <si>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</si>
  <si>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</si>
  <si>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</si>
  <si>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</si>
  <si>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</si>
  <si>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</si>
  <si>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</si>
  <si>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</si>
  <si>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</si>
  <si>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</si>
  <si>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</si>
  <si>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</si>
  <si>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</si>
  <si>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</si>
  <si>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</si>
  <si>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</si>
  <si>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</si>
  <si>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</si>
  <si>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</si>
  <si>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</si>
  <si>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</si>
  <si>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</si>
  <si>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</si>
  <si>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</si>
  <si>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</si>
  <si>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</si>
  <si>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</si>
  <si>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</si>
  <si>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</si>
  <si>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</si>
  <si>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</si>
  <si>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</si>
  <si>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</si>
  <si>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</si>
  <si>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</si>
  <si>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</si>
  <si>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</si>
  <si>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</si>
  <si>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</si>
  <si>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</si>
  <si>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</si>
  <si>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</si>
  <si>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</si>
  <si>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</si>
  <si>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</si>
  <si>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</si>
  <si>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</si>
  <si>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</si>
  <si>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</si>
  <si>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</si>
  <si>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</si>
  <si>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</si>
  <si>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</si>
  <si>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</si>
  <si>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</si>
  <si>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</si>
  <si>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</si>
  <si>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</si>
  <si>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</si>
  <si>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</si>
  <si>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</si>
  <si>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</si>
  <si>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</si>
  <si>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</si>
  <si>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</si>
  <si>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</si>
  <si>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</si>
  <si>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</si>
  <si>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</si>
  <si>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</si>
  <si>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</si>
  <si>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</si>
  <si>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</si>
  <si>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</si>
  <si>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</si>
  <si>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</si>
  <si>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</si>
  <si>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</si>
  <si>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</si>
  <si>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</si>
  <si>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</si>
  <si>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</si>
  <si>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</si>
  <si>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</si>
  <si>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</si>
  <si>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</si>
  <si>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</si>
  <si>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</si>
  <si>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</si>
  <si>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</si>
  <si>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</si>
  <si>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</si>
  <si>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</si>
  <si>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</si>
  <si>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</si>
  <si>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</si>
  <si>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</si>
  <si>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</si>
  <si>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</si>
  <si>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</si>
  <si>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</si>
  <si>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</si>
  <si>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</si>
  <si>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</si>
  <si>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</si>
  <si>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</si>
  <si>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</si>
  <si>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</si>
  <si>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</si>
  <si>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</si>
  <si>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</si>
  <si>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</si>
  <si>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</si>
  <si>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</si>
  <si>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</si>
  <si>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</si>
  <si>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</si>
  <si>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</si>
  <si>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</si>
  <si>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</si>
  <si>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</si>
  <si>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</si>
  <si>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</si>
  <si>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</si>
  <si>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</si>
  <si>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</si>
  <si>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</si>
  <si>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</si>
  <si>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</si>
  <si>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</si>
  <si>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</si>
  <si>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</si>
  <si>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</si>
  <si>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</si>
  <si>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</si>
  <si>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</si>
  <si>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</si>
  <si>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</si>
  <si>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</si>
  <si>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</si>
  <si>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</si>
  <si>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</si>
  <si>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</si>
  <si>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</si>
  <si>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</si>
  <si>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</si>
  <si>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</si>
  <si>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</si>
  <si>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</si>
  <si>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</si>
  <si>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</si>
  <si>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</si>
  <si>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</si>
  <si>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</si>
  <si>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</si>
  <si>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</si>
  <si>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</si>
  <si>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</si>
  <si>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</si>
  <si>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</si>
  <si>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</si>
  <si>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</si>
  <si>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</si>
  <si>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</si>
  <si>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</si>
  <si>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</si>
  <si>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</si>
  <si>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</si>
  <si>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</si>
  <si>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</si>
  <si>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</si>
  <si>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</si>
  <si>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</si>
  <si>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</si>
  <si>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</si>
  <si>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</si>
  <si>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</si>
  <si>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</si>
  <si>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</si>
  <si>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</si>
  <si>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</si>
  <si>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</si>
  <si>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</si>
  <si>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</si>
  <si>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</si>
  <si>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</si>
  <si>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</si>
  <si>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</si>
  <si>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</si>
  <si>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</si>
  <si>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</si>
  <si>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</si>
  <si>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</si>
  <si>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</si>
  <si>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</si>
  <si>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</si>
  <si>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</si>
  <si>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</si>
  <si>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</si>
  <si>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</si>
  <si>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</si>
  <si>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</si>
  <si>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</si>
  <si>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</si>
  <si>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</si>
  <si>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</si>
  <si>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</si>
  <si>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</si>
  <si>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</si>
  <si>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</si>
  <si>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</si>
  <si>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</si>
  <si>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</si>
  <si>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</si>
  <si>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</si>
  <si>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</si>
  <si>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</si>
  <si>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</si>
  <si>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</si>
  <si>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</si>
  <si>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</si>
  <si>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</si>
  <si>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</si>
  <si>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</si>
  <si>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</si>
  <si>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</si>
  <si>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</si>
  <si>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</si>
  <si>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</si>
  <si>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</si>
  <si>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</si>
  <si>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</si>
  <si>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</si>
  <si>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</si>
  <si>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</si>
  <si>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</si>
  <si>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</si>
  <si>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</si>
  <si>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</si>
  <si>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</si>
  <si>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</si>
  <si>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</si>
  <si>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</si>
  <si>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</si>
  <si>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</si>
  <si>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</si>
  <si>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</si>
  <si>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</si>
  <si>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</si>
  <si>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</si>
  <si>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</si>
  <si>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</si>
  <si>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</si>
  <si>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</si>
  <si>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</si>
  <si>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</si>
  <si>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</si>
  <si>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</si>
  <si>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</si>
  <si>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</si>
  <si>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</si>
  <si>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</si>
  <si>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</si>
  <si>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</si>
  <si>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</si>
  <si>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</si>
  <si>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</si>
  <si>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</si>
  <si>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</si>
  <si>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</si>
  <si>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</si>
  <si>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</si>
  <si>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</si>
  <si>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</si>
  <si>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</si>
  <si>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</si>
  <si>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</si>
  <si>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</si>
  <si>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</si>
  <si>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</si>
  <si>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</si>
  <si>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</si>
  <si>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</si>
  <si>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</si>
  <si>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</si>
  <si>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</si>
  <si>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</si>
  <si>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</si>
  <si>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</si>
  <si>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</si>
  <si>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</si>
  <si>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</si>
  <si>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</si>
  <si>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</si>
  <si>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</si>
  <si>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</si>
  <si>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</si>
  <si>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</si>
  <si>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</si>
  <si>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</si>
  <si>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</si>
  <si>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</si>
  <si>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</si>
  <si>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</si>
  <si>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</si>
  <si>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</si>
  <si>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</si>
  <si>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</si>
  <si>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</si>
  <si>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</si>
  <si>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</si>
  <si>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</si>
  <si>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</si>
  <si>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</si>
  <si>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</si>
  <si>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</si>
  <si>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</si>
  <si>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</si>
  <si>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</si>
  <si>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</si>
  <si>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</si>
  <si>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</si>
  <si>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</si>
  <si>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</si>
  <si>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</si>
  <si>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</si>
  <si>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</si>
  <si>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</si>
  <si>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</si>
  <si>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</si>
  <si>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</si>
  <si>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</si>
  <si>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</si>
  <si>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</si>
  <si>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</si>
  <si>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</si>
  <si>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</si>
  <si>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</si>
  <si>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</si>
  <si>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</si>
  <si>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</si>
  <si>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</si>
  <si>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</si>
  <si>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</si>
  <si>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</si>
  <si>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</si>
  <si>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</si>
  <si>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</si>
  <si>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</si>
  <si>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</si>
  <si>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</si>
  <si>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</si>
  <si>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</si>
  <si>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</si>
  <si>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</si>
  <si>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</si>
  <si>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</si>
  <si>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</si>
  <si>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</si>
  <si>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</si>
  <si>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</si>
  <si>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</si>
  <si>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</si>
  <si>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</si>
  <si>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</si>
  <si>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</si>
  <si>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</si>
  <si>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</si>
  <si>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</si>
  <si>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</si>
  <si>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</si>
  <si>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</si>
  <si>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</si>
  <si>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</si>
  <si>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</si>
  <si>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</si>
  <si>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</si>
  <si>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</si>
  <si>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</si>
  <si>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</si>
  <si>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</si>
  <si>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</si>
  <si>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</si>
  <si>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</si>
  <si>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</si>
  <si>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</si>
  <si>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</si>
  <si>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</si>
  <si>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</si>
  <si>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</si>
  <si>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</si>
  <si>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</si>
  <si>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</si>
  <si>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</si>
  <si>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</si>
  <si>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</si>
  <si>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</si>
  <si>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</si>
  <si>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</si>
  <si>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</si>
  <si>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</si>
  <si>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</si>
  <si>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</si>
  <si>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</si>
  <si>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</si>
  <si>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</si>
  <si>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</si>
  <si>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</si>
  <si>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</si>
  <si>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</si>
  <si>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</si>
  <si>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</si>
  <si>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</si>
  <si>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</si>
  <si>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</si>
  <si>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</si>
  <si>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</si>
  <si>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</si>
  <si>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</si>
  <si>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</si>
  <si>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</si>
  <si>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</si>
  <si>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</si>
  <si>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</si>
  <si>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</si>
  <si>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</si>
  <si>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</si>
  <si>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</si>
  <si>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</si>
  <si>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</si>
  <si>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</si>
  <si>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</si>
  <si>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</si>
  <si>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</si>
  <si>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</si>
  <si>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</si>
  <si>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</si>
  <si>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</si>
  <si>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</si>
  <si>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</si>
  <si>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</si>
  <si>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</si>
  <si>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</si>
  <si>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</si>
  <si>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</si>
  <si>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</si>
  <si>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</si>
  <si>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</si>
  <si>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</si>
  <si>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</si>
  <si>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</si>
  <si>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</si>
  <si>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</si>
  <si>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</si>
  <si>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</si>
  <si>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</si>
  <si>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</si>
  <si>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</si>
  <si>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</si>
  <si>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</si>
  <si>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</si>
  <si>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</si>
  <si>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</si>
  <si>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</si>
  <si>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</si>
  <si>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</si>
  <si>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</si>
  <si>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</si>
  <si>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</si>
  <si>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</si>
  <si>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</si>
  <si>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</si>
  <si>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</si>
  <si>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</si>
  <si>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</si>
  <si>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</si>
  <si>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</si>
  <si>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</si>
  <si>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</si>
  <si>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</si>
  <si>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</si>
  <si>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</si>
  <si>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</si>
  <si>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</si>
  <si>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</si>
  <si>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</si>
  <si>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</si>
  <si>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</si>
  <si>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</si>
  <si>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</si>
  <si>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</si>
  <si>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</si>
  <si>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</si>
  <si>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</si>
  <si>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</si>
  <si>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</si>
  <si>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</si>
  <si>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</si>
  <si>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</si>
  <si>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</si>
  <si>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</si>
  <si>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</si>
  <si>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</si>
  <si>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</si>
  <si>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</si>
  <si>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</si>
  <si>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</si>
  <si>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</si>
  <si>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</si>
  <si>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</si>
  <si>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</si>
  <si>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</si>
  <si>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</si>
  <si>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</si>
  <si>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</si>
  <si>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</si>
  <si>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</si>
  <si>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</si>
  <si>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</si>
  <si>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</si>
  <si>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</si>
  <si>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</si>
  <si>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</si>
  <si>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</si>
  <si>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</si>
  <si>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</si>
  <si>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</si>
  <si>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</si>
  <si>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</si>
  <si>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</si>
  <si>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</si>
  <si>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</si>
  <si>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</si>
  <si>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</si>
  <si>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</si>
  <si>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</si>
  <si>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</si>
  <si>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</si>
  <si>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</si>
  <si>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</si>
  <si>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</si>
  <si>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</si>
  <si>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</si>
  <si>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</si>
  <si>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</si>
  <si>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</si>
  <si>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</si>
  <si>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</si>
  <si>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</si>
  <si>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</si>
  <si>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</si>
  <si>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</si>
  <si>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</si>
  <si>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</si>
  <si>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</si>
  <si>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</si>
  <si>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</si>
  <si>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</si>
  <si>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</si>
  <si>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</si>
  <si>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</si>
  <si>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</si>
  <si>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</si>
  <si>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</si>
  <si>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</si>
  <si>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</si>
  <si>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</si>
  <si>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</si>
  <si>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</si>
  <si>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</si>
  <si>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</si>
  <si>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</si>
  <si>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</si>
  <si>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</si>
  <si>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</si>
  <si>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</si>
  <si>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</si>
  <si>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</si>
  <si>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</si>
  <si>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</si>
  <si>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</si>
  <si>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</si>
  <si>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</si>
  <si>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</si>
  <si>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</si>
  <si>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</si>
  <si>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</si>
  <si>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</si>
  <si>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</si>
  <si>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</si>
  <si>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</si>
  <si>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</si>
  <si>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</si>
  <si>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</si>
  <si>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</si>
  <si>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</si>
  <si>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</si>
  <si>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</si>
  <si>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</si>
  <si>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</si>
  <si>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</si>
  <si>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</si>
  <si>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</si>
  <si>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</si>
  <si>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</si>
  <si>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</si>
  <si>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</si>
  <si>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</si>
  <si>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</si>
  <si>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</si>
  <si>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</si>
  <si>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</si>
  <si>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</si>
  <si>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</si>
  <si>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</si>
  <si>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</si>
  <si>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</si>
  <si>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</si>
  <si>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</si>
  <si>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</si>
  <si>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</si>
  <si>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</si>
  <si>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</si>
  <si>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</si>
  <si>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</si>
  <si>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</si>
  <si>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</si>
  <si>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</si>
  <si>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</si>
  <si>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</si>
  <si>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</si>
  <si>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</si>
  <si>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</si>
  <si>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</si>
  <si>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</si>
  <si>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</si>
  <si>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</si>
  <si>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</si>
  <si>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</si>
  <si>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</si>
  <si>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</si>
  <si>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</si>
  <si>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</si>
  <si>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</si>
  <si>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</si>
  <si>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</si>
  <si>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</si>
  <si>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</si>
  <si>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</si>
  <si>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</si>
  <si>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</si>
  <si>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</si>
  <si>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</si>
  <si>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</si>
  <si>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</si>
  <si>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</si>
  <si>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</si>
  <si>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</si>
  <si>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</si>
  <si>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</si>
  <si>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</si>
  <si>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</si>
  <si>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</si>
  <si>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</si>
  <si>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</si>
  <si>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</si>
  <si>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</si>
  <si>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</si>
  <si>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</si>
  <si>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</si>
  <si>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</si>
  <si>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</si>
  <si>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</si>
  <si>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</si>
  <si>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</si>
  <si>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</si>
  <si>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</si>
  <si>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</si>
  <si>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</si>
  <si>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</si>
  <si>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</si>
  <si>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</si>
  <si>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</si>
  <si>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</si>
  <si>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</si>
  <si>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</si>
  <si>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</si>
  <si>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</si>
  <si>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</si>
  <si>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</si>
  <si>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</si>
  <si>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</si>
  <si>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</si>
  <si>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</si>
  <si>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</si>
  <si>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</si>
  <si>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</si>
  <si>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</si>
  <si>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</si>
  <si>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</si>
  <si>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</si>
  <si>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</si>
  <si>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</si>
  <si>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</si>
  <si>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</si>
  <si>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</si>
  <si>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</si>
  <si>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</si>
  <si>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</si>
  <si>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</si>
  <si>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</si>
  <si>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</si>
  <si>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</si>
  <si>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</si>
  <si>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</si>
  <si>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</si>
  <si>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</si>
  <si>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</si>
  <si>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</si>
  <si>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</si>
  <si>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</si>
  <si>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</si>
  <si>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</si>
  <si>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</si>
  <si>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</si>
  <si>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</si>
  <si>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</si>
  <si>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</si>
  <si>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</si>
  <si>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</si>
  <si>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</si>
  <si>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</si>
  <si>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</si>
  <si>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</si>
  <si>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</si>
  <si>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</si>
  <si>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</si>
  <si>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</si>
  <si>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</si>
  <si>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</si>
  <si>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</si>
  <si>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</si>
  <si>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</si>
  <si>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</si>
  <si>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</si>
  <si>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</si>
  <si>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</si>
  <si>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</si>
  <si>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</si>
  <si>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</si>
  <si>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</si>
  <si>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</si>
  <si>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</si>
  <si>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</si>
  <si>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</si>
  <si>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</si>
  <si>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</si>
  <si>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</si>
  <si>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</si>
  <si>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</si>
  <si>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</si>
  <si>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</si>
  <si>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</si>
  <si>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</si>
  <si>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</si>
  <si>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</si>
  <si>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</si>
  <si>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</si>
  <si>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</si>
  <si>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</si>
  <si>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</si>
  <si>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</si>
  <si>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</si>
  <si>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</si>
  <si>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</si>
  <si>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</si>
  <si>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</si>
  <si>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</si>
  <si>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</si>
  <si>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</si>
  <si>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</si>
  <si>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</si>
  <si>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</si>
  <si>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</si>
  <si>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</si>
  <si>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</si>
  <si>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</si>
  <si>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</si>
  <si>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</si>
  <si>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</si>
  <si>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</si>
  <si>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</si>
  <si>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</si>
  <si>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</si>
  <si>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</si>
  <si>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</si>
  <si>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</si>
  <si>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</si>
  <si>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</si>
  <si>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</si>
  <si>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</si>
  <si>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</si>
  <si>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</si>
  <si>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</si>
  <si>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</si>
  <si>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</si>
  <si>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</si>
  <si>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</si>
  <si>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</si>
  <si>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</si>
  <si>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</si>
  <si>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</si>
  <si>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</si>
  <si>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</si>
  <si>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</si>
  <si>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</si>
  <si>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</si>
  <si>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</si>
  <si>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</si>
  <si>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</si>
  <si>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</si>
  <si>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</si>
  <si>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</si>
  <si>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</si>
  <si>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</si>
  <si>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</si>
  <si>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</si>
  <si>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</si>
  <si>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</si>
  <si>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</si>
  <si>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</si>
  <si>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</si>
  <si>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</si>
  <si>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</si>
  <si>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</si>
  <si>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</si>
  <si>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</si>
  <si>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</si>
  <si>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</si>
  <si>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</si>
  <si>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</si>
  <si>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</si>
  <si>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</si>
  <si>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</si>
  <si>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</si>
  <si>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</si>
  <si>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</si>
  <si>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</si>
  <si>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</si>
  <si>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</si>
  <si>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</si>
  <si>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</si>
  <si>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</si>
  <si>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</si>
  <si>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</si>
  <si>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</si>
  <si>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</si>
  <si>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</si>
  <si>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</si>
  <si>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</si>
  <si>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</si>
  <si>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</si>
  <si>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</si>
  <si>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</si>
  <si>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</si>
  <si>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</si>
  <si>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</si>
  <si>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</si>
  <si>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</si>
  <si>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</si>
  <si>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</si>
  <si>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</si>
  <si>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</si>
  <si>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</si>
  <si>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</si>
  <si>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</si>
  <si>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</si>
  <si>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</si>
  <si>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</si>
  <si>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</si>
  <si>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</si>
  <si>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</si>
  <si>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</si>
  <si>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</si>
  <si>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</si>
  <si>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</si>
  <si>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</si>
  <si>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</si>
  <si>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</si>
  <si>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</si>
  <si>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</si>
  <si>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</si>
  <si>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</si>
  <si>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</si>
  <si>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</si>
  <si>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</si>
  <si>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</si>
  <si>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</si>
  <si>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</si>
  <si>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</si>
  <si>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</si>
  <si>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</si>
  <si>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</si>
  <si>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</si>
  <si>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</si>
  <si>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</si>
  <si>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</si>
  <si>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</si>
  <si>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</si>
  <si>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</si>
  <si>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</si>
  <si>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</si>
  <si>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</si>
  <si>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</si>
  <si>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</si>
  <si>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</si>
  <si>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</si>
  <si>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</si>
  <si>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</si>
  <si>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</si>
  <si>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</si>
  <si>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</si>
  <si>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</si>
  <si>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</si>
  <si>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</si>
  <si>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</si>
  <si>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</si>
  <si>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</si>
  <si>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</si>
  <si>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</si>
  <si>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</si>
  <si>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</si>
  <si>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</si>
  <si>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</si>
  <si>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</si>
  <si>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</si>
  <si>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</si>
  <si>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</si>
  <si>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</si>
  <si>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</si>
  <si>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</si>
  <si>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</si>
  <si>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</si>
  <si>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</si>
  <si>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</si>
  <si>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</si>
  <si>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</si>
  <si>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</si>
  <si>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</si>
  <si>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</si>
  <si>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</si>
  <si>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</si>
  <si>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</si>
  <si>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</si>
  <si>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</si>
  <si>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</si>
  <si>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</si>
  <si>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</si>
  <si>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</si>
  <si>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</si>
  <si>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</si>
  <si>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</si>
  <si>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</si>
  <si>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</si>
  <si>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</si>
  <si>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</si>
  <si>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</si>
  <si>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</si>
  <si>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</si>
  <si>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</si>
  <si>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</si>
  <si>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</si>
  <si>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</si>
  <si>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</si>
  <si>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</si>
  <si>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</si>
  <si>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</si>
  <si>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</si>
  <si>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</si>
  <si>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</si>
  <si>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</si>
  <si>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</si>
  <si>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</si>
  <si>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</si>
  <si>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</si>
  <si>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</si>
  <si>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</si>
  <si>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</si>
  <si>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</si>
  <si>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</si>
  <si>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</si>
  <si>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</si>
  <si>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</si>
  <si>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</si>
  <si>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</si>
  <si>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</si>
  <si>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</si>
  <si>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</si>
  <si>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</si>
  <si>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</si>
  <si>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</si>
  <si>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</si>
  <si>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</si>
  <si>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</si>
  <si>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</si>
  <si>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</si>
  <si>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</si>
  <si>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</si>
  <si>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</si>
  <si>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</si>
  <si>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</si>
  <si>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</si>
  <si>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</si>
  <si>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</si>
  <si>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</si>
  <si>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</si>
  <si>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</si>
  <si>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</si>
  <si>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</si>
  <si>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</si>
  <si>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</si>
  <si>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</si>
  <si>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</si>
  <si>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</si>
  <si>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</si>
  <si>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</si>
  <si>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</si>
  <si>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</si>
  <si>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</si>
  <si>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</si>
  <si>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</si>
  <si>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</si>
  <si>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</si>
  <si>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</si>
  <si>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</si>
  <si>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</si>
  <si>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</si>
  <si>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</si>
  <si>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</si>
  <si>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</si>
  <si>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</si>
  <si>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</si>
  <si>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</si>
  <si>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</si>
  <si>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</si>
  <si>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</si>
  <si>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</si>
  <si>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</si>
  <si>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</si>
  <si>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</si>
  <si>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</si>
  <si>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</si>
  <si>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</si>
  <si>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</si>
  <si>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</si>
  <si>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</si>
  <si>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</si>
  <si>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</si>
  <si>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</si>
  <si>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</si>
  <si>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</si>
  <si>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</si>
  <si>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</si>
  <si>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</si>
  <si>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</si>
  <si>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</si>
  <si>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</si>
  <si>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</si>
  <si>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</si>
  <si>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</si>
  <si>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</si>
  <si>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</si>
  <si>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</si>
  <si>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</si>
  <si>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</si>
  <si>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</si>
  <si>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</si>
  <si>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</si>
  <si>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</si>
  <si>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</si>
  <si>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</si>
  <si>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</si>
  <si>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</si>
  <si>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</si>
  <si>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</si>
  <si>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</si>
  <si>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</si>
  <si>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</si>
  <si>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</si>
  <si>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</si>
  <si>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</si>
  <si>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</si>
  <si>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</si>
  <si>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</si>
  <si>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</si>
  <si>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</si>
  <si>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</si>
  <si>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</si>
  <si>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</si>
  <si>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</si>
  <si>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</si>
  <si>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</si>
  <si>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</si>
  <si>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</si>
  <si>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</si>
  <si>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</si>
  <si>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</si>
  <si>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</si>
  <si>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</si>
  <si>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</si>
  <si>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</si>
  <si>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</si>
  <si>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</si>
  <si>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</si>
  <si>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</si>
  <si>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</si>
  <si>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</si>
  <si>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</si>
  <si>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</si>
  <si>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</si>
  <si>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</si>
  <si>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</si>
  <si>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</si>
  <si>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</si>
  <si>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</si>
  <si>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</si>
  <si>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</si>
  <si>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</si>
  <si>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</si>
  <si>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</si>
  <si>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</si>
  <si>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</si>
  <si>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</si>
  <si>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</si>
  <si>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</si>
  <si>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</si>
  <si>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</si>
  <si>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</si>
  <si>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</si>
  <si>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</si>
  <si>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</si>
  <si>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</si>
  <si>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</si>
  <si>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</si>
  <si>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</si>
  <si>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</si>
  <si>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</si>
  <si>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</si>
  <si>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</si>
  <si>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</si>
  <si>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</si>
  <si>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</si>
  <si>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</si>
  <si>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</si>
  <si>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</si>
  <si>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</si>
  <si>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</si>
  <si>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</si>
  <si>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</si>
  <si>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</si>
  <si>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</si>
  <si>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</si>
  <si>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</si>
  <si>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</si>
  <si>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</si>
  <si>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</si>
  <si>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</si>
  <si>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</si>
  <si>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</si>
  <si>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</si>
  <si>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</si>
  <si>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</si>
  <si>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</si>
  <si>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</si>
  <si>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</si>
  <si>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</si>
  <si>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</si>
  <si>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</si>
  <si>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</si>
  <si>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</si>
  <si>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</si>
  <si>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</si>
  <si>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</si>
  <si>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</si>
  <si>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</si>
  <si>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</si>
  <si>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</si>
  <si>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</si>
  <si>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</si>
  <si>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</si>
  <si>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</si>
  <si>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</si>
  <si>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</si>
  <si>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</si>
  <si>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</si>
  <si>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</si>
  <si>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</si>
  <si>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</si>
  <si>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</si>
  <si>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</si>
  <si>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</si>
  <si>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</si>
  <si>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</si>
  <si>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</si>
  <si>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</si>
  <si>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</si>
  <si>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</si>
  <si>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</si>
  <si>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</si>
  <si>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</si>
  <si>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</si>
  <si>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</si>
  <si>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</si>
  <si>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</si>
  <si>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</si>
  <si>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</si>
  <si>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</si>
  <si>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</si>
  <si>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</si>
  <si>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</si>
  <si>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</si>
  <si>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</si>
  <si>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</si>
  <si>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</si>
  <si>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</si>
  <si>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</si>
  <si>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</si>
  <si>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</si>
  <si>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</si>
  <si>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</si>
  <si>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</si>
  <si>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</si>
  <si>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</si>
  <si>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</si>
  <si>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</si>
  <si>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</si>
  <si>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</si>
  <si>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</si>
  <si>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</si>
  <si>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</si>
  <si>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</si>
  <si>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</si>
  <si>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</si>
  <si>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</si>
  <si>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</si>
  <si>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</si>
  <si>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</si>
  <si>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</si>
  <si>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</si>
  <si>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</si>
  <si>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</si>
  <si>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</si>
  <si>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</si>
  <si>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</si>
  <si>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</si>
  <si>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</si>
  <si>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</si>
  <si>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</si>
  <si>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</si>
  <si>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</si>
  <si>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</si>
  <si>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</si>
  <si>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</si>
  <si>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</si>
  <si>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</si>
  <si>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</si>
  <si>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</si>
  <si>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</si>
  <si>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</si>
  <si>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</si>
  <si>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</si>
  <si>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</si>
  <si>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</si>
  <si>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</si>
  <si>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</si>
  <si>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</si>
  <si>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</si>
  <si>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</si>
  <si>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</si>
  <si>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</si>
  <si>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</si>
  <si>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</si>
  <si>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</si>
  <si>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</si>
  <si>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</si>
  <si>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</si>
  <si>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</si>
  <si>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</si>
  <si>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</si>
  <si>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</si>
  <si>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</si>
  <si>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</si>
  <si>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</si>
  <si>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</si>
  <si>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</si>
  <si>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</si>
  <si>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</si>
  <si>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</si>
  <si>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</si>
  <si>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</si>
  <si>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</si>
  <si>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</si>
  <si>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</si>
  <si>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</si>
  <si>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</si>
  <si>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</si>
  <si>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</si>
  <si>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</si>
  <si>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</si>
  <si>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</si>
  <si>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</si>
  <si>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</si>
  <si>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</si>
  <si>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</si>
  <si>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</si>
  <si>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</si>
  <si>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</si>
  <si>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</si>
  <si>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</si>
  <si>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</si>
  <si>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</si>
  <si>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</si>
  <si>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</si>
  <si>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</si>
  <si>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</si>
  <si>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</si>
  <si>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</si>
  <si>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</si>
  <si>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</si>
  <si>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</si>
  <si>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</si>
  <si>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</si>
  <si>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</si>
  <si>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</si>
  <si>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</si>
  <si>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</si>
  <si>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</si>
  <si>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</si>
  <si>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</si>
  <si>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</si>
  <si>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</si>
  <si>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</si>
  <si>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</si>
  <si>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</si>
  <si>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</si>
  <si>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</si>
  <si>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</si>
  <si>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</si>
  <si>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</si>
  <si>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</si>
  <si>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</si>
  <si>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</si>
  <si>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</si>
  <si>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</si>
  <si>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</si>
  <si>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</si>
  <si>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</si>
  <si>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</si>
  <si>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</si>
  <si>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</si>
  <si>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</si>
  <si>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</si>
  <si>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</si>
  <si>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</si>
  <si>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</si>
  <si>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</si>
  <si>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</si>
  <si>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</si>
  <si>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</si>
  <si>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</si>
  <si>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</si>
  <si>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</si>
  <si>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</si>
  <si>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</si>
  <si>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</si>
  <si>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</si>
  <si>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</si>
  <si>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</si>
  <si>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</si>
  <si>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</si>
  <si>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</si>
  <si>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</si>
  <si>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</si>
  <si>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</si>
  <si>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</si>
  <si>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</si>
  <si>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</si>
  <si>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</si>
  <si>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</si>
  <si>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</si>
  <si>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</si>
  <si>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</si>
  <si>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</si>
  <si>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</si>
  <si>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</si>
  <si>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</si>
  <si>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</si>
  <si>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</si>
  <si>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</si>
  <si>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</si>
  <si>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</si>
  <si>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</si>
  <si>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</si>
  <si>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</si>
  <si>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</si>
  <si>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</si>
  <si>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</si>
  <si>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</si>
  <si>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</si>
  <si>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</si>
  <si>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</si>
  <si>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</si>
  <si>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</si>
  <si>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</si>
  <si>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</si>
  <si>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</si>
  <si>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</si>
  <si>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</si>
  <si>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</si>
  <si>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</si>
  <si>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</si>
  <si>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</si>
  <si>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</si>
  <si>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</si>
  <si>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</si>
  <si>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</si>
  <si>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</si>
  <si>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</si>
  <si>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</si>
  <si>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</si>
  <si>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</si>
  <si>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</si>
  <si>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</si>
  <si>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</si>
  <si>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</si>
  <si>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</si>
  <si>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</si>
  <si>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</si>
  <si>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</si>
  <si>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</si>
  <si>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</si>
  <si>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</si>
  <si>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</si>
  <si>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</si>
  <si>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</si>
  <si>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</si>
  <si>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</si>
  <si>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</si>
  <si>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</si>
  <si>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</si>
  <si>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</si>
  <si>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</si>
  <si>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</si>
  <si>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</si>
  <si>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</si>
  <si>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</si>
  <si>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</si>
  <si>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</si>
  <si>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</si>
  <si>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</si>
  <si>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</si>
  <si>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</si>
  <si>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</si>
  <si>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</si>
  <si>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</si>
  <si>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</si>
  <si>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</si>
  <si>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</si>
  <si>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</si>
  <si>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</si>
  <si>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</si>
  <si>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</si>
  <si>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</si>
  <si>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</si>
  <si>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</si>
  <si>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</si>
  <si>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</si>
  <si>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</si>
  <si>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</si>
  <si>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</si>
  <si>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</si>
  <si>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</si>
  <si>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</si>
  <si>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</si>
  <si>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</si>
  <si>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</si>
  <si>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</si>
  <si>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</si>
  <si>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</si>
  <si>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</si>
  <si>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</si>
  <si>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</si>
  <si>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</si>
  <si>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</si>
  <si>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</si>
  <si>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</si>
  <si>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</si>
  <si>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</si>
  <si>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</si>
  <si>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</si>
  <si>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</si>
  <si>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</si>
  <si>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</si>
  <si>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</si>
  <si>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</si>
  <si>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</si>
  <si>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</si>
  <si>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</si>
  <si>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</si>
  <si>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</si>
  <si>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</si>
  <si>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</si>
  <si>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</si>
  <si>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</si>
  <si>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</si>
  <si>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</si>
  <si>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</si>
  <si>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</si>
  <si>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</si>
  <si>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</si>
  <si>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</si>
  <si>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</si>
  <si>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</si>
  <si>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</si>
  <si>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</si>
  <si>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</si>
  <si>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</si>
  <si>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</si>
  <si>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</si>
  <si>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</si>
  <si>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</si>
  <si>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</si>
  <si>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</si>
  <si>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</si>
  <si>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</si>
  <si>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</si>
  <si>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</si>
  <si>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</si>
  <si>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</si>
  <si>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</si>
  <si>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</si>
  <si>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</si>
  <si>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</si>
  <si>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</si>
  <si>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</si>
  <si>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</si>
  <si>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</si>
  <si>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</si>
  <si>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</si>
  <si>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</si>
  <si>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</si>
  <si>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</si>
  <si>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</si>
  <si>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</si>
  <si>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</si>
  <si>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</si>
  <si>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</si>
  <si>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</si>
  <si>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</si>
  <si>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</si>
  <si>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</si>
  <si>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</si>
  <si>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</si>
  <si>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</si>
  <si>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</si>
  <si>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</si>
  <si>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</si>
  <si>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</si>
  <si>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</si>
  <si>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</si>
  <si>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</si>
  <si>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</si>
  <si>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</si>
  <si>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</si>
  <si>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</si>
  <si>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</si>
  <si>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</si>
  <si>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</si>
  <si>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</si>
  <si>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</si>
  <si>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</si>
  <si>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</si>
  <si>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</si>
  <si>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</si>
  <si>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</si>
  <si>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</si>
  <si>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</si>
  <si>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</si>
  <si>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</si>
  <si>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</si>
  <si>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</si>
  <si>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</si>
  <si>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</si>
  <si>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</si>
  <si>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</si>
  <si>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</si>
  <si>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</si>
  <si>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</si>
  <si>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</si>
  <si>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</si>
  <si>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</si>
  <si>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</si>
  <si>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</si>
  <si>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</si>
  <si>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</si>
  <si>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</si>
  <si>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</si>
  <si>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</si>
  <si>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</si>
  <si>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</si>
  <si>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</si>
  <si>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</si>
  <si>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</si>
  <si>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</si>
  <si>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</si>
  <si>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</si>
  <si>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</si>
  <si>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</si>
  <si>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</si>
  <si>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</si>
  <si>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</si>
  <si>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</si>
  <si>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</si>
  <si>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</si>
  <si>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</si>
  <si>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</si>
  <si>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</si>
  <si>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</si>
  <si>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</si>
  <si>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</si>
  <si>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</si>
  <si>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</si>
  <si>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</si>
  <si>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</si>
  <si>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</si>
  <si>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</si>
  <si>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</si>
  <si>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</si>
  <si>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</si>
  <si>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</si>
  <si>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</si>
  <si>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</si>
  <si>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</si>
  <si>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</si>
  <si>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</si>
  <si>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</si>
  <si>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</si>
  <si>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</si>
  <si>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</si>
  <si>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</si>
  <si>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</si>
  <si>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</si>
  <si>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</si>
  <si>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</si>
  <si>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</si>
  <si>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</si>
  <si>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</si>
  <si>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</si>
  <si>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</si>
  <si>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</si>
  <si>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</si>
  <si>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</si>
  <si>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</si>
  <si>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</si>
  <si>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</si>
  <si>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</si>
  <si>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</si>
  <si>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</si>
  <si>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</si>
  <si>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</si>
  <si>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</si>
  <si>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</si>
  <si>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</si>
  <si>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</si>
  <si>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</si>
  <si>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</si>
  <si>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</si>
  <si>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</si>
  <si>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</si>
  <si>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</si>
  <si>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</si>
  <si>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</si>
  <si>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</si>
  <si>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</si>
  <si>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</si>
  <si>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</si>
  <si>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</si>
  <si>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</si>
  <si>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</si>
  <si>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</si>
  <si>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</si>
  <si>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</si>
  <si>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</si>
  <si>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</si>
  <si>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</si>
  <si>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</si>
  <si>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</si>
  <si>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</si>
  <si>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</si>
  <si>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</si>
  <si>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</si>
  <si>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</si>
  <si>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</si>
  <si>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</si>
  <si>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</si>
  <si>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</si>
  <si>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</si>
  <si>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</si>
  <si>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</si>
  <si>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</si>
  <si>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</si>
  <si>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</si>
  <si>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</si>
  <si>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</si>
  <si>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</si>
  <si>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</si>
  <si>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</si>
  <si>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</si>
  <si>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</si>
  <si>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</si>
  <si>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</si>
  <si>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</si>
  <si>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</si>
  <si>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</si>
  <si>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</si>
  <si>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</si>
  <si>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</si>
  <si>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</si>
  <si>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</si>
  <si>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</si>
  <si>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</si>
  <si>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</si>
  <si>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</si>
  <si>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</si>
  <si>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</si>
  <si>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</si>
  <si>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</si>
  <si>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</si>
  <si>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</si>
  <si>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</si>
  <si>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</si>
  <si>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</si>
  <si>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</si>
  <si>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</si>
  <si>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</si>
  <si>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</si>
  <si>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</si>
  <si>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</si>
  <si>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</si>
  <si>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</si>
  <si>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</si>
  <si>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</si>
  <si>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</si>
  <si>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</si>
  <si>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</si>
  <si>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</si>
  <si>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</si>
  <si>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</si>
  <si>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</si>
  <si>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</si>
  <si>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</si>
  <si>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</si>
  <si>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</si>
  <si>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</si>
  <si>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</si>
  <si>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</si>
  <si>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</si>
  <si>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</si>
  <si>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</si>
  <si>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</si>
  <si>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</si>
  <si>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</si>
  <si>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</si>
  <si>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</si>
  <si>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</si>
  <si>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</si>
  <si>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</si>
  <si>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</si>
  <si>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</si>
  <si>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</si>
  <si>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</si>
  <si>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</si>
  <si>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</si>
  <si>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</si>
  <si>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</si>
  <si>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</si>
  <si>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</si>
  <si>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</si>
  <si>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</si>
  <si>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</si>
  <si>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</si>
  <si>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</si>
  <si>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</si>
  <si>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</si>
  <si>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</si>
  <si>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</si>
  <si>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</si>
  <si>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</si>
  <si>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</si>
  <si>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</si>
  <si>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</si>
  <si>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</si>
  <si>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</si>
  <si>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</si>
  <si>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</si>
  <si>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</si>
  <si>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</si>
  <si>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</si>
  <si>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</si>
  <si>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</si>
  <si>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</si>
  <si>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</si>
  <si>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</si>
  <si>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</si>
  <si>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</si>
  <si>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</si>
  <si>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</si>
  <si>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</si>
  <si>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</si>
  <si>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</si>
  <si>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</si>
  <si>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</si>
  <si>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</si>
  <si>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</si>
  <si>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</si>
  <si>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</si>
  <si>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</si>
  <si>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</si>
  <si>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</si>
  <si>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</si>
  <si>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</si>
  <si>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</si>
  <si>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</si>
  <si>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</si>
  <si>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</si>
  <si>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</si>
  <si>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</si>
  <si>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</si>
  <si>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</si>
  <si>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</si>
  <si>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</si>
  <si>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</si>
  <si>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</si>
  <si>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</si>
  <si>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</si>
  <si>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</si>
  <si>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</si>
  <si>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</si>
  <si>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</si>
  <si>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</si>
  <si>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</si>
  <si>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</si>
  <si>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</si>
  <si>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</si>
  <si>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</si>
  <si>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</si>
  <si>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</si>
  <si>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</si>
  <si>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</si>
  <si>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</si>
  <si>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</si>
  <si>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</si>
  <si>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</si>
  <si>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</si>
  <si>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</si>
  <si>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</si>
  <si>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</si>
  <si>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</si>
  <si>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</si>
  <si>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</si>
  <si>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</si>
  <si>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</si>
  <si>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</si>
  <si>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</si>
  <si>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</si>
  <si>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</si>
  <si>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</si>
  <si>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</si>
  <si>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</si>
  <si>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</si>
  <si>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</si>
  <si>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</si>
  <si>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</si>
  <si>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</si>
  <si>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</si>
  <si>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</si>
  <si>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</si>
  <si>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</si>
  <si>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</si>
  <si>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</si>
  <si>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</si>
  <si>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</si>
  <si>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</si>
  <si>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</si>
  <si>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</si>
  <si>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</si>
  <si>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</si>
  <si>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</si>
  <si>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</si>
  <si>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</si>
  <si>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</si>
  <si>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</si>
  <si>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</si>
  <si>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</si>
  <si>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</si>
  <si>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</si>
  <si>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</si>
  <si>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</si>
  <si>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</si>
  <si>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</si>
  <si>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</si>
  <si>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</si>
  <si>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</si>
  <si>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</si>
  <si>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</si>
  <si>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</si>
  <si>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</si>
  <si>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</si>
  <si>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</si>
  <si>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</si>
  <si>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</si>
  <si>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</si>
  <si>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</si>
  <si>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</si>
  <si>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</si>
  <si>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</si>
  <si>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</si>
  <si>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</si>
  <si>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</si>
  <si>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</si>
  <si>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</si>
  <si>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</si>
  <si>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</si>
  <si>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</si>
  <si>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</si>
  <si>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</si>
  <si>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</si>
  <si>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</si>
  <si>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</si>
  <si>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</si>
  <si>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</si>
  <si>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</si>
  <si>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</si>
  <si>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</si>
  <si>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</si>
  <si>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</si>
  <si>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</si>
  <si>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</si>
  <si>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</si>
  <si>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</si>
  <si>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</si>
  <si>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</si>
  <si>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</si>
  <si>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</si>
  <si>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</si>
  <si>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</si>
  <si>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</si>
  <si>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</si>
  <si>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</si>
  <si>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</si>
  <si>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</si>
  <si>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</si>
  <si>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</si>
  <si>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</si>
  <si>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</si>
  <si>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</si>
  <si>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</si>
  <si>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</si>
  <si>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</si>
  <si>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</si>
  <si>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</si>
  <si>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</si>
  <si>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</si>
  <si>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</si>
  <si>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</si>
  <si>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</si>
  <si>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</si>
  <si>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</si>
  <si>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</si>
  <si>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</si>
  <si>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</si>
  <si>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</si>
  <si>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</si>
  <si>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</si>
  <si>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</si>
  <si>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</si>
  <si>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</si>
  <si>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</si>
  <si>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</si>
  <si>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</si>
  <si>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</si>
  <si>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</si>
  <si>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</si>
  <si>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</si>
  <si>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</si>
  <si>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</si>
  <si>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</si>
  <si>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</si>
  <si>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</si>
  <si>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</si>
  <si>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</si>
  <si>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</si>
  <si>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</si>
  <si>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</si>
  <si>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</si>
  <si>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</si>
  <si>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</si>
  <si>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</si>
  <si>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</si>
  <si>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</si>
  <si>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</si>
  <si>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</si>
  <si>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</si>
  <si>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</si>
  <si>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</si>
  <si>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</si>
  <si>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</si>
  <si>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</si>
  <si>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</si>
  <si>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</si>
  <si>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</si>
  <si>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</si>
  <si>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</si>
  <si>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</si>
  <si>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</si>
  <si>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</si>
  <si>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</si>
  <si>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</si>
  <si>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</si>
  <si>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</si>
  <si>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</si>
  <si>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</si>
  <si>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</si>
  <si>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</si>
  <si>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</si>
  <si>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</si>
  <si>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</si>
  <si>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</si>
  <si>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</si>
  <si>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</si>
  <si>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</si>
  <si>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</si>
  <si>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</si>
  <si>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</si>
  <si>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</si>
  <si>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</si>
  <si>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</si>
  <si>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</si>
  <si>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</si>
  <si>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</si>
  <si>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</si>
  <si>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</si>
  <si>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</si>
  <si>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</si>
  <si>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</si>
  <si>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</si>
  <si>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</si>
  <si>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</si>
  <si>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</si>
  <si>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</si>
  <si>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</si>
  <si>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</si>
  <si>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</si>
  <si>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</si>
  <si>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</si>
  <si>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</si>
  <si>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</si>
  <si>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</si>
  <si>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</si>
  <si>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</si>
  <si>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</si>
  <si>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</si>
  <si>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</si>
  <si>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</si>
  <si>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</si>
  <si>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</si>
  <si>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</si>
  <si>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</si>
  <si>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</si>
  <si>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</si>
  <si>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</si>
  <si>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</si>
  <si>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</si>
  <si>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</si>
  <si>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</si>
  <si>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</si>
  <si>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</si>
  <si>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</si>
  <si>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</si>
  <si>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</si>
  <si>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</si>
  <si>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</si>
  <si>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</si>
  <si>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</si>
  <si>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</si>
  <si>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</si>
  <si>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</si>
  <si>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</si>
  <si>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</si>
  <si>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</si>
  <si>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</si>
  <si>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</si>
  <si>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</si>
  <si>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</si>
  <si>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</si>
  <si>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</si>
  <si>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</si>
  <si>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</si>
  <si>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</si>
  <si>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</si>
  <si>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</si>
  <si>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</si>
  <si>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</si>
  <si>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</si>
  <si>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</si>
  <si>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</si>
  <si>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</si>
  <si>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</si>
  <si>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</si>
  <si>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</si>
  <si>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</si>
  <si>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</si>
  <si>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</si>
  <si>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</si>
  <si>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</si>
  <si>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</si>
  <si>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</si>
  <si>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</si>
  <si>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</si>
  <si>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</si>
  <si>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</si>
  <si>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</si>
  <si>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</si>
  <si>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</si>
  <si>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</si>
  <si>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</si>
  <si>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</si>
  <si>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</si>
  <si>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</si>
  <si>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</si>
  <si>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</si>
  <si>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</si>
  <si>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</si>
  <si>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</si>
  <si>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</si>
  <si>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</si>
  <si>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</si>
  <si>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</si>
  <si>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</si>
  <si>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</si>
  <si>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</si>
  <si>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</si>
  <si>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</si>
  <si>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</si>
  <si>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</si>
  <si>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</si>
  <si>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</si>
  <si>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</si>
  <si>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</si>
  <si>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</si>
  <si>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</si>
  <si>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</si>
  <si>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</si>
  <si>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</si>
  <si>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</si>
  <si>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</si>
  <si>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</si>
  <si>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</si>
  <si>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</si>
  <si>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</si>
  <si>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</si>
  <si>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</si>
  <si>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</si>
  <si>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</si>
  <si>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</si>
  <si>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</si>
  <si>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</si>
  <si>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</si>
  <si>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</si>
  <si>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</si>
  <si>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</si>
  <si>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</si>
  <si>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</si>
  <si>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</si>
  <si>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</si>
  <si>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</si>
  <si>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</si>
  <si>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</si>
  <si>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</si>
  <si>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</si>
  <si>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</si>
  <si>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</si>
  <si>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</si>
  <si>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</si>
  <si>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</si>
  <si>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</si>
  <si>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</si>
  <si>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</si>
  <si>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</si>
  <si>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</si>
  <si>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</si>
  <si>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</si>
  <si>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</si>
  <si>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</si>
  <si>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</si>
  <si>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</si>
  <si>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</si>
  <si>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</si>
  <si>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</si>
  <si>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</si>
  <si>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</si>
  <si>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</si>
  <si>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</si>
  <si>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</si>
  <si>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</si>
  <si>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</si>
  <si>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</si>
  <si>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</si>
  <si>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</si>
  <si>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</si>
  <si>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</si>
  <si>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</si>
  <si>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</si>
  <si>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</si>
  <si>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</si>
  <si>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</si>
  <si>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</si>
  <si>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</si>
  <si>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</si>
  <si>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</si>
  <si>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</si>
  <si>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</si>
  <si>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</si>
  <si>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</si>
  <si>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</si>
  <si>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</si>
  <si>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</si>
  <si>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</si>
  <si>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</si>
  <si>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</si>
  <si>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</si>
  <si>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</si>
  <si>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</si>
  <si>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</si>
  <si>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</si>
  <si>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</si>
  <si>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</si>
  <si>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</si>
  <si>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</si>
  <si>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</si>
  <si>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</si>
  <si>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</si>
  <si>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</si>
  <si>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</si>
  <si>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</si>
  <si>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</si>
  <si>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</si>
  <si>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</si>
  <si>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</si>
  <si>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</si>
  <si>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</si>
  <si>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</si>
  <si>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</si>
  <si>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</si>
  <si>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</si>
  <si>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</si>
  <si>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</si>
  <si>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</si>
  <si>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</si>
  <si>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</si>
  <si>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</si>
  <si>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</si>
  <si>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</si>
  <si>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</si>
  <si>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</si>
  <si>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</si>
  <si>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</si>
  <si>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</si>
  <si>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</si>
  <si>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</si>
  <si>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</si>
  <si>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</si>
  <si>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</si>
  <si>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</si>
  <si>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</si>
  <si>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</si>
  <si>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</si>
  <si>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</si>
  <si>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</si>
  <si>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</si>
  <si>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</si>
  <si>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</si>
  <si>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</si>
  <si>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</si>
  <si>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</si>
  <si>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</si>
  <si>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</si>
  <si>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</si>
  <si>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</si>
  <si>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</si>
  <si>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</si>
  <si>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</si>
  <si>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</si>
  <si>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</si>
  <si>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</si>
  <si>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</si>
  <si>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</si>
  <si>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</si>
  <si>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</si>
  <si>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</si>
  <si>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</si>
  <si>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</si>
  <si>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</si>
  <si>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</si>
  <si>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</si>
  <si>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</si>
  <si>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</si>
  <si>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</si>
  <si>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</si>
  <si>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</si>
  <si>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</si>
  <si>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</si>
  <si>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</si>
  <si>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</si>
  <si>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</si>
  <si>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</si>
  <si>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</si>
  <si>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</si>
  <si>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</si>
  <si>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</si>
  <si>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</si>
  <si>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</si>
  <si>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</si>
  <si>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</si>
  <si>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</si>
  <si>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</si>
  <si>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</si>
  <si>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</si>
  <si>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</si>
  <si>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</si>
  <si>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</si>
  <si>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</si>
  <si>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</si>
  <si>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</si>
  <si>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</si>
  <si>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</si>
  <si>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</si>
  <si>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</si>
  <si>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</si>
  <si>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</si>
  <si>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</si>
  <si>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</si>
  <si>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</si>
  <si>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</si>
  <si>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</si>
  <si>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</si>
  <si>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</si>
  <si>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</si>
  <si>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</si>
  <si>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</si>
  <si>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</si>
  <si>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</si>
  <si>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</si>
  <si>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</si>
  <si>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</si>
  <si>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</si>
  <si>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</si>
  <si>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</si>
  <si>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</si>
  <si>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</si>
  <si>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</si>
  <si>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</si>
  <si>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</si>
  <si>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</si>
  <si>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</si>
  <si>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</si>
  <si>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</si>
  <si>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</si>
  <si>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</si>
  <si>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</si>
  <si>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</si>
  <si>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</si>
  <si>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</si>
  <si>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</si>
  <si>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</si>
  <si>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</si>
  <si>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</si>
  <si>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</si>
  <si>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</si>
  <si>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</si>
  <si>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</si>
  <si>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</si>
  <si>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</si>
  <si>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</si>
  <si>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</si>
  <si>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</si>
  <si>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</si>
  <si>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</si>
  <si>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</si>
  <si>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</si>
  <si>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</si>
  <si>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</si>
  <si>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</si>
  <si>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</si>
  <si>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</si>
  <si>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</si>
  <si>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</si>
  <si>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</si>
  <si>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</si>
  <si>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</si>
  <si>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</si>
  <si>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</si>
  <si>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</si>
  <si>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</si>
  <si>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</si>
  <si>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</si>
  <si>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</si>
  <si>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</si>
  <si>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</si>
  <si>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</si>
  <si>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</si>
  <si>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</si>
  <si>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</si>
  <si>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</si>
  <si>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</si>
  <si>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</si>
  <si>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</si>
  <si>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</si>
  <si>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</si>
  <si>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</si>
  <si>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</si>
  <si>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</si>
  <si>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</si>
  <si>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</si>
  <si>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</si>
  <si>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</si>
  <si>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</si>
  <si>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</si>
  <si>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</si>
  <si>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</si>
  <si>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</si>
  <si>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</si>
  <si>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</si>
  <si>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</si>
  <si>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</si>
  <si>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</si>
  <si>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</si>
  <si>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</si>
  <si>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</si>
  <si>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</si>
  <si>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</si>
  <si>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</si>
  <si>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</si>
  <si>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</si>
  <si>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</si>
  <si>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</si>
  <si>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</si>
  <si>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</si>
  <si>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</si>
  <si>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</si>
  <si>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</si>
  <si>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</si>
  <si>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</si>
  <si>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</si>
  <si>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</si>
  <si>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</si>
  <si>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</si>
  <si>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</si>
  <si>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</si>
  <si>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</si>
  <si>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</si>
  <si>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</si>
  <si>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</si>
  <si>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</si>
  <si>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</si>
  <si>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</si>
  <si>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</si>
  <si>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</si>
  <si>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</si>
  <si>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</si>
  <si>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</si>
  <si>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</si>
  <si>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</si>
  <si>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</si>
  <si>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</si>
  <si>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</si>
  <si>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</si>
  <si>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</si>
  <si>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</si>
  <si>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</si>
  <si>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</si>
  <si>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</si>
  <si>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</si>
  <si>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</si>
  <si>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</si>
  <si>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</si>
  <si>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</si>
  <si>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</si>
  <si>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</si>
  <si>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</si>
  <si>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</si>
  <si>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</si>
  <si>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</si>
  <si>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</si>
  <si>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</si>
  <si>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</si>
  <si>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</si>
  <si>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</si>
  <si>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</si>
  <si>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</si>
  <si>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</si>
  <si>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</si>
  <si>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</si>
  <si>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</si>
  <si>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</si>
  <si>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</si>
  <si>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</si>
  <si>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</si>
  <si>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</si>
  <si>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</si>
  <si>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</si>
  <si>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</si>
  <si>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</si>
  <si>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</si>
  <si>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</si>
  <si>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</si>
  <si>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</si>
  <si>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</si>
  <si>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</si>
  <si>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</si>
  <si>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</si>
  <si>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</si>
  <si>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</si>
  <si>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</si>
  <si>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</si>
  <si>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</si>
  <si>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</si>
  <si>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</si>
  <si>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</si>
  <si>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</si>
  <si>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</si>
  <si>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</si>
  <si>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</si>
  <si>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</si>
  <si>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</si>
  <si>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</si>
  <si>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</si>
  <si>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</si>
  <si>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</si>
  <si>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</si>
  <si>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</si>
  <si>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</si>
  <si>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</si>
  <si>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</si>
  <si>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</si>
  <si>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</si>
  <si>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</si>
  <si>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</si>
  <si>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</si>
  <si>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</si>
  <si>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</si>
  <si>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</si>
  <si>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</si>
  <si>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</si>
  <si>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</si>
  <si>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</si>
  <si>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</si>
  <si>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</si>
  <si>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</si>
  <si>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</si>
  <si>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</si>
  <si>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</si>
  <si>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</si>
  <si>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</si>
  <si>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</si>
  <si>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</si>
  <si>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</si>
  <si>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</si>
  <si>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</si>
  <si>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</si>
  <si>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</si>
  <si>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</si>
  <si>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</si>
  <si>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</si>
  <si>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</si>
  <si>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</si>
  <si>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</si>
  <si>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</si>
  <si>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</si>
  <si>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</si>
  <si>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</si>
  <si>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</si>
  <si>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</si>
  <si>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</si>
  <si>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</si>
  <si>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</si>
  <si>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</si>
  <si>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</si>
  <si>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</si>
  <si>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</si>
  <si>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</si>
  <si>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</si>
  <si>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</si>
  <si>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</si>
  <si>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</si>
  <si>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</si>
  <si>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</si>
  <si>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</si>
  <si>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</si>
  <si>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</si>
  <si>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</si>
  <si>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</si>
  <si>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</si>
  <si>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</si>
  <si>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</si>
  <si>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</si>
  <si>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</si>
  <si>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</si>
  <si>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</si>
  <si>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</si>
  <si>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</si>
  <si>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</si>
  <si>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</si>
  <si>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</si>
  <si>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</si>
  <si>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</si>
  <si>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</si>
  <si>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</si>
  <si>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</si>
  <si>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</si>
  <si>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</si>
  <si>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</si>
  <si>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</si>
  <si>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</si>
  <si>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</si>
  <si>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</si>
  <si>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</si>
  <si>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</si>
  <si>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</si>
  <si>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</si>
  <si>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</si>
  <si>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</si>
  <si>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</si>
  <si>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</si>
  <si>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</si>
  <si>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</si>
  <si>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</si>
  <si>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</si>
  <si>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</si>
  <si>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</si>
  <si>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</si>
  <si>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</si>
  <si>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</si>
  <si>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</si>
  <si>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</si>
  <si>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</si>
  <si>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</si>
  <si>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</si>
  <si>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</si>
  <si>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</si>
  <si>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</si>
  <si>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</si>
  <si>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</si>
  <si>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</si>
  <si>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</si>
  <si>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</si>
  <si>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</si>
  <si>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</si>
  <si>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</si>
  <si>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</si>
  <si>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</si>
  <si>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</si>
  <si>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</si>
  <si>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</si>
  <si>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</si>
  <si>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</si>
  <si>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</si>
  <si>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</si>
  <si>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</si>
  <si>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</si>
  <si>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</si>
  <si>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</si>
  <si>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</si>
  <si>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</si>
  <si>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</si>
  <si>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</si>
  <si>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</si>
  <si>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</si>
  <si>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</si>
  <si>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</si>
  <si>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</si>
  <si>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</si>
  <si>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</si>
  <si>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</si>
  <si>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</si>
  <si>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</si>
  <si>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</si>
  <si>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</si>
  <si>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</si>
  <si>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</si>
  <si>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</si>
  <si>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</si>
  <si>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</si>
  <si>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</si>
  <si>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</si>
  <si>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</si>
  <si>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</si>
  <si>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</si>
  <si>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</si>
  <si>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</si>
  <si>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</si>
  <si>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</si>
  <si>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</si>
  <si>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</si>
  <si>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</si>
  <si>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</si>
  <si>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</si>
  <si>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</si>
  <si>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</si>
  <si>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</si>
  <si>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</si>
  <si>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</si>
  <si>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</si>
  <si>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</si>
  <si>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</si>
  <si>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</si>
  <si>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</si>
  <si>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</si>
  <si>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</si>
  <si>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</si>
  <si>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</si>
  <si>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</si>
  <si>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</si>
  <si>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</si>
  <si>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</si>
  <si>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</si>
  <si>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</si>
  <si>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</si>
  <si>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</si>
  <si>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</si>
  <si>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</si>
  <si>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</si>
  <si>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</si>
  <si>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</si>
  <si>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</si>
  <si>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</si>
  <si>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</si>
  <si>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</si>
  <si>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</si>
  <si>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</si>
  <si>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</si>
  <si>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</si>
  <si>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</si>
  <si>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</si>
  <si>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</si>
  <si>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</si>
  <si>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</si>
  <si>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</si>
  <si>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</si>
  <si>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</si>
  <si>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</si>
  <si>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</si>
  <si>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</si>
  <si>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</si>
  <si>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</si>
  <si>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</si>
  <si>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</si>
  <si>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</si>
  <si>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</si>
  <si>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</si>
  <si>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</si>
  <si>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</si>
  <si>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</si>
  <si>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</si>
  <si>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</si>
  <si>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</si>
  <si>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</si>
  <si>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</si>
  <si>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</si>
  <si>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</si>
  <si>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</si>
  <si>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</si>
  <si>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</si>
  <si>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</si>
  <si>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</si>
  <si>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</si>
  <si>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</si>
  <si>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</si>
  <si>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</si>
  <si>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</si>
  <si>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</si>
  <si>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</si>
  <si>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</si>
  <si>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</si>
  <si>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</si>
  <si>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</si>
  <si>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</si>
  <si>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</si>
  <si>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</si>
  <si>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</si>
  <si>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</si>
  <si>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</si>
  <si>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</si>
  <si>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</si>
  <si>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</si>
  <si>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</si>
  <si>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</si>
  <si>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</si>
  <si>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</si>
  <si>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</si>
  <si>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</si>
  <si>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</si>
  <si>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</si>
  <si>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</si>
  <si>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</si>
  <si>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</si>
  <si>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</si>
  <si>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</si>
  <si>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</si>
  <si>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</si>
  <si>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</si>
  <si>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</si>
  <si>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</si>
  <si>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</si>
  <si>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</si>
  <si>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</si>
  <si>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</si>
  <si>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</si>
  <si>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</si>
  <si>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</si>
  <si>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</si>
  <si>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</si>
  <si>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</si>
  <si>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</si>
  <si>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</si>
  <si>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</si>
  <si>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</si>
  <si>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</si>
  <si>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</si>
  <si>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</si>
  <si>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</si>
  <si>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</si>
  <si>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</si>
  <si>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</si>
  <si>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</si>
  <si>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</si>
  <si>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</si>
  <si>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</si>
  <si>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</si>
  <si>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</si>
  <si>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</si>
  <si>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</si>
  <si>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</si>
  <si>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</si>
  <si>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</si>
  <si>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</si>
  <si>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</si>
  <si>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</si>
  <si>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</si>
  <si>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</si>
  <si>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</si>
  <si>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</si>
  <si>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</si>
  <si>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</si>
  <si>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</si>
  <si>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</si>
  <si>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</si>
  <si>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</si>
  <si>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</si>
  <si>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</si>
  <si>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</si>
  <si>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</si>
  <si>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</si>
  <si>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</si>
  <si>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</si>
  <si>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</si>
  <si>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</si>
  <si>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</si>
  <si>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</si>
  <si>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</si>
  <si>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</si>
  <si>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</si>
  <si>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</si>
  <si>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</si>
  <si>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</si>
  <si>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</si>
  <si>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</si>
  <si>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</si>
  <si>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</si>
  <si>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</si>
  <si>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</si>
  <si>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</si>
  <si>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</si>
  <si>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</si>
  <si>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</si>
  <si>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</si>
  <si>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</si>
  <si>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</si>
  <si>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</si>
  <si>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</si>
  <si>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</si>
  <si>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</si>
  <si>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</si>
  <si>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</si>
  <si>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</si>
  <si>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</si>
  <si>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</si>
  <si>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</si>
  <si>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</si>
  <si>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</si>
  <si>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</si>
  <si>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</si>
  <si>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</si>
  <si>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</si>
  <si>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</si>
  <si>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</si>
  <si>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</si>
  <si>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</si>
  <si>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</si>
  <si>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</si>
  <si>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</si>
  <si>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</si>
  <si>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</si>
  <si>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</si>
  <si>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</si>
  <si>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</si>
  <si>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</si>
  <si>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</si>
  <si>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</si>
  <si>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</si>
  <si>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</si>
  <si>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</si>
  <si>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</si>
  <si>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</si>
  <si>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</si>
  <si>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</si>
  <si>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</si>
  <si>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</si>
  <si>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</si>
  <si>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</si>
  <si>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</si>
  <si>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</si>
  <si>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</si>
  <si>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</si>
  <si>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</si>
  <si>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</si>
  <si>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</si>
  <si>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</si>
  <si>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</si>
  <si>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</si>
  <si>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</si>
  <si>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</si>
  <si>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</si>
  <si>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</si>
  <si>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</si>
  <si>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</si>
  <si>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</si>
  <si>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</si>
  <si>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</si>
  <si>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</si>
  <si>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</si>
  <si>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</si>
  <si>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</si>
  <si>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</si>
  <si>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</si>
  <si>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</si>
  <si>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</si>
  <si>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</si>
  <si>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</si>
  <si>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</si>
  <si>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</si>
  <si>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</si>
  <si>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</si>
  <si>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</si>
  <si>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</si>
  <si>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</si>
  <si>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</si>
  <si>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</si>
  <si>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</si>
  <si>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</si>
  <si>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</si>
  <si>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</si>
  <si>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</si>
  <si>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</si>
  <si>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</si>
  <si>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</si>
  <si>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</si>
  <si>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</si>
  <si>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</si>
  <si>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</si>
  <si>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</si>
  <si>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</si>
  <si>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</si>
  <si>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</si>
  <si>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</si>
  <si>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</si>
  <si>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</si>
  <si>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</si>
  <si>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</si>
  <si>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</si>
  <si>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</si>
  <si>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</si>
  <si>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</si>
  <si>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</si>
  <si>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</si>
  <si>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</si>
  <si>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</si>
  <si>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</si>
  <si>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</si>
  <si>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</si>
  <si>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</si>
  <si>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</si>
  <si>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</si>
  <si>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</si>
  <si>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</si>
  <si>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</si>
  <si>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</si>
  <si>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</si>
  <si>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</si>
  <si>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</si>
  <si>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</si>
  <si>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</si>
  <si>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</si>
  <si>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</si>
  <si>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</si>
  <si>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</si>
  <si>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</si>
  <si>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</si>
  <si>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</si>
  <si>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</si>
  <si>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</si>
  <si>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</si>
  <si>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</si>
  <si>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</si>
  <si>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</si>
  <si>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</si>
  <si>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</si>
  <si>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</si>
  <si>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</si>
  <si>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</si>
  <si>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</si>
  <si>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</si>
  <si>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</si>
  <si>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</si>
  <si>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</si>
  <si>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</si>
  <si>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</si>
  <si>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</si>
  <si>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</si>
  <si>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</si>
  <si>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</si>
  <si>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</si>
  <si>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</si>
  <si>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</si>
  <si>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</si>
  <si>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</si>
  <si>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</si>
  <si>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</si>
  <si>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</si>
  <si>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</si>
  <si>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</si>
  <si>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</si>
  <si>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</si>
  <si>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</si>
  <si>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</si>
  <si>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</si>
  <si>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</si>
  <si>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</si>
  <si>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</si>
  <si>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</si>
  <si>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</si>
  <si>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</si>
  <si>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</si>
  <si>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</si>
  <si>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</si>
  <si>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</si>
  <si>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</si>
  <si>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</si>
  <si>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</si>
  <si>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</si>
  <si>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</si>
  <si>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</si>
  <si>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</si>
  <si>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</si>
  <si>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</si>
  <si>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</si>
  <si>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</si>
  <si>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</si>
  <si>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</si>
  <si>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</si>
  <si>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</si>
  <si>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</si>
  <si>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</si>
  <si>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</si>
  <si>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</si>
  <si>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</si>
  <si>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</si>
  <si>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</si>
  <si>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</si>
  <si>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</si>
  <si>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</si>
  <si>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</si>
  <si>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</si>
  <si>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</si>
  <si>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</si>
  <si>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</si>
  <si>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</si>
  <si>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</si>
  <si>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</si>
  <si>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</si>
  <si>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</si>
  <si>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</si>
  <si>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</si>
  <si>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</si>
  <si>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</si>
  <si>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</si>
  <si>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</si>
  <si>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</si>
  <si>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</si>
  <si>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</si>
  <si>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</si>
  <si>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</si>
  <si>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</si>
  <si>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</si>
  <si>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</si>
  <si>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</si>
  <si>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</si>
  <si>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</si>
  <si>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</si>
  <si>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</si>
  <si>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</si>
  <si>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</si>
  <si>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</si>
  <si>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</si>
  <si>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</si>
  <si>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</si>
  <si>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</si>
  <si>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</si>
  <si>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</si>
  <si>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</si>
  <si>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</si>
  <si>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</si>
  <si>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</si>
  <si>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</si>
  <si>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</si>
  <si>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</si>
  <si>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</si>
  <si>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</si>
  <si>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</si>
  <si>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</si>
  <si>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</si>
  <si>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</si>
  <si>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</si>
  <si>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</si>
  <si>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</si>
  <si>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</si>
  <si>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</si>
  <si>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</si>
  <si>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</si>
  <si>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</si>
  <si>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</si>
  <si>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</si>
  <si>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</si>
  <si>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</si>
  <si>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</si>
  <si>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</si>
  <si>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</si>
  <si>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</si>
  <si>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</si>
  <si>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</si>
  <si>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</si>
  <si>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</si>
  <si>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</si>
  <si>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</si>
  <si>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</si>
  <si>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</si>
  <si>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</si>
  <si>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</si>
  <si>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</si>
  <si>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</si>
  <si>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</si>
  <si>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</si>
  <si>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</si>
  <si>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</si>
  <si>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</si>
  <si>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</si>
  <si>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</si>
  <si>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</si>
  <si>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</si>
  <si>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</si>
  <si>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</si>
  <si>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</si>
  <si>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</si>
  <si>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</si>
  <si>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</si>
  <si>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</si>
  <si>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</si>
  <si>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</si>
  <si>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</si>
  <si>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</si>
  <si>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</si>
  <si>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</si>
  <si>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</si>
  <si>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</si>
  <si>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</si>
  <si>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</si>
  <si>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</si>
  <si>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</si>
  <si>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</si>
  <si>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</si>
  <si>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</si>
  <si>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</si>
  <si>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</si>
  <si>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</si>
  <si>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</si>
  <si>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</si>
  <si>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</si>
  <si>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</si>
  <si>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</si>
  <si>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</si>
  <si>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</si>
  <si>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</si>
  <si>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</si>
  <si>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</si>
  <si>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</si>
  <si>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</si>
  <si>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</si>
  <si>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</si>
  <si>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</si>
  <si>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</si>
  <si>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</si>
  <si>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</si>
  <si>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</si>
  <si>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</si>
  <si>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</si>
  <si>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</si>
  <si>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</si>
  <si>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</si>
  <si>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</si>
  <si>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</si>
  <si>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</si>
  <si>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</si>
  <si>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</si>
  <si>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</si>
  <si>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</si>
  <si>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</si>
  <si>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</si>
  <si>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</si>
  <si>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</si>
  <si>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</si>
  <si>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</si>
  <si>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</si>
  <si>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</si>
  <si>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</si>
  <si>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</si>
  <si>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</si>
  <si>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</si>
  <si>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</si>
  <si>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</si>
  <si>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</si>
  <si>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</si>
  <si>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</si>
  <si>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</si>
  <si>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</si>
  <si>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</si>
  <si>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</si>
  <si>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</si>
  <si>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</si>
  <si>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</si>
  <si>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</si>
  <si>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</si>
  <si>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</si>
  <si>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</si>
  <si>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</si>
  <si>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</si>
  <si>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</si>
  <si>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</si>
  <si>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</si>
  <si>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</si>
  <si>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</si>
  <si>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</si>
  <si>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</si>
  <si>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</si>
  <si>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</si>
  <si>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</si>
  <si>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</si>
  <si>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</si>
  <si>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</si>
  <si>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</si>
  <si>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</si>
  <si>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</si>
  <si>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</si>
  <si>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</si>
  <si>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</si>
  <si>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</si>
  <si>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</si>
  <si>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</si>
  <si>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</si>
  <si>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</si>
  <si>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</si>
  <si>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</si>
  <si>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</si>
  <si>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</si>
  <si>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</si>
  <si>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</si>
  <si>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</si>
  <si>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</si>
  <si>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</si>
  <si>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</si>
  <si>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</si>
  <si>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</si>
  <si>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</si>
  <si>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</si>
  <si>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</si>
  <si>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</si>
  <si>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</si>
  <si>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</si>
  <si>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</si>
  <si>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</si>
  <si>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</si>
  <si>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</si>
  <si>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</si>
  <si>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</si>
  <si>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</si>
  <si>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</si>
  <si>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</si>
  <si>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</si>
  <si>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</si>
  <si>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</si>
  <si>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</si>
  <si>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</si>
  <si>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</si>
  <si>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</si>
  <si>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</si>
  <si>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</si>
  <si>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</si>
  <si>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</si>
  <si>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</si>
  <si>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</si>
  <si>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</si>
  <si>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</si>
  <si>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</si>
  <si>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</si>
  <si>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</si>
  <si>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</si>
  <si>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</si>
  <si>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</si>
  <si>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</si>
  <si>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</si>
  <si>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</si>
  <si>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</si>
  <si>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</si>
  <si>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</si>
  <si>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</si>
  <si>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</si>
  <si>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</si>
  <si>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</si>
  <si>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</si>
  <si>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</si>
  <si>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</si>
  <si>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</si>
  <si>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</si>
  <si>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</si>
  <si>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</si>
  <si>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</si>
  <si>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</si>
  <si>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</si>
  <si>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</si>
  <si>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</si>
  <si>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</si>
  <si>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</si>
  <si>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</si>
  <si>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</si>
  <si>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</si>
  <si>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</si>
  <si>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</si>
  <si>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</si>
  <si>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</si>
  <si>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</si>
  <si>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</si>
  <si>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</si>
  <si>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</si>
  <si>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</si>
  <si>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</si>
  <si>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</si>
  <si>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</si>
  <si>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</si>
  <si>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</si>
  <si>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</si>
  <si>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</si>
  <si>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</si>
  <si>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</si>
  <si>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</si>
  <si>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</si>
  <si>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</si>
  <si>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</si>
  <si>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</si>
  <si>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</si>
  <si>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</si>
  <si>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</si>
  <si>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</si>
  <si>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</si>
  <si>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</si>
  <si>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</si>
  <si>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</si>
  <si>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</si>
  <si>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</si>
  <si>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</si>
  <si>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</si>
  <si>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</si>
  <si>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</si>
  <si>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</si>
  <si>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</si>
  <si>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</si>
  <si>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</si>
  <si>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</si>
  <si>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</si>
  <si>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</si>
  <si>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</si>
  <si>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</si>
  <si>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</si>
  <si>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</si>
  <si>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</si>
  <si>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</si>
  <si>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</si>
  <si>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</si>
  <si>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</si>
  <si>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</si>
  <si>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</si>
  <si>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</si>
  <si>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</si>
  <si>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</si>
  <si>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</si>
  <si>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</si>
  <si>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</si>
  <si>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</si>
  <si>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</si>
  <si>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</si>
  <si>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</si>
  <si>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</si>
  <si>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</si>
  <si>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</si>
  <si>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</si>
  <si>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</si>
  <si>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</si>
  <si>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</si>
  <si>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</si>
  <si>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</si>
  <si>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</si>
  <si>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</si>
  <si>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</si>
  <si>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</si>
  <si>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</si>
  <si>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</si>
  <si>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</si>
  <si>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</si>
  <si>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</si>
  <si>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</si>
  <si>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</si>
  <si>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</si>
  <si>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</si>
  <si>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</si>
  <si>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</si>
  <si>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</si>
  <si>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</si>
  <si>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</si>
  <si>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</si>
  <si>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</si>
  <si>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</si>
  <si>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</si>
  <si>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</si>
  <si>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</si>
  <si>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</si>
  <si>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</si>
  <si>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</si>
  <si>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</si>
  <si>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</si>
  <si>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</si>
  <si>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</si>
  <si>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</si>
  <si>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</si>
  <si>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</si>
  <si>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</si>
  <si>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</si>
  <si>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</si>
  <si>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</si>
  <si>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</si>
  <si>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</si>
  <si>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</si>
  <si>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</si>
  <si>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</si>
  <si>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</si>
  <si>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</si>
  <si>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</si>
  <si>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</si>
  <si>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</si>
  <si>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</si>
  <si>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</si>
  <si>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</si>
  <si>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</si>
  <si>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</si>
  <si>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</si>
  <si>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</si>
  <si>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</si>
  <si>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</si>
  <si>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</si>
  <si>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</si>
  <si>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</si>
  <si>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</si>
  <si>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</si>
  <si>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</si>
  <si>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</si>
  <si>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</si>
  <si>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</si>
  <si>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</si>
  <si>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</si>
  <si>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</si>
  <si>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</si>
  <si>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</si>
  <si>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</si>
  <si>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</si>
  <si>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</si>
  <si>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</si>
  <si>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</si>
  <si>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</si>
  <si>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</si>
  <si>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</si>
  <si>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</si>
  <si>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</si>
  <si>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</si>
  <si>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</si>
  <si>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</si>
  <si>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</si>
  <si>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</si>
  <si>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</si>
  <si>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</si>
  <si>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</si>
  <si>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</si>
  <si>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</si>
  <si>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</si>
  <si>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</si>
  <si>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</si>
  <si>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</si>
  <si>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</si>
  <si>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</si>
  <si>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</si>
  <si>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</si>
  <si>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</si>
  <si>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</si>
  <si>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</si>
  <si>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</si>
  <si>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</si>
  <si>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</si>
  <si>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</si>
  <si>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</si>
  <si>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</si>
  <si>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</si>
  <si>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</si>
  <si>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</si>
  <si>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</si>
  <si>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</si>
  <si>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</si>
  <si>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</si>
  <si>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</si>
  <si>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</si>
  <si>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</si>
  <si>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</si>
  <si>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</si>
  <si>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</si>
  <si>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</si>
  <si>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</si>
  <si>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</si>
  <si>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</si>
  <si>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</si>
  <si>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</si>
  <si>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</si>
  <si>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</si>
  <si>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</si>
  <si>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</si>
  <si>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</si>
  <si>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</si>
  <si>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</si>
  <si>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</si>
  <si>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</si>
  <si>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</si>
  <si>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</si>
  <si>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</si>
  <si>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</si>
  <si>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</si>
  <si>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</si>
  <si>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</si>
  <si>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</si>
  <si>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</si>
  <si>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</si>
  <si>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</si>
  <si>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</si>
  <si>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</si>
  <si>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</si>
  <si>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</si>
  <si>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</si>
  <si>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</si>
  <si>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</si>
  <si>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</si>
  <si>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</si>
  <si>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</si>
  <si>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</si>
  <si>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</si>
  <si>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</si>
  <si>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</si>
  <si>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</si>
  <si>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</si>
  <si>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</si>
  <si>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</si>
  <si>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</si>
  <si>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</si>
  <si>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</si>
  <si>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</si>
  <si>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</si>
  <si>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</si>
  <si>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</si>
  <si>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</si>
  <si>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</si>
  <si>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</si>
  <si>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</si>
  <si>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</si>
  <si>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</si>
  <si>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</si>
  <si>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</si>
  <si>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</si>
  <si>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</si>
  <si>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</si>
  <si>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</si>
  <si>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</si>
  <si>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</si>
  <si>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</si>
  <si>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</si>
  <si>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</si>
  <si>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</si>
  <si>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</si>
  <si>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</si>
  <si>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</si>
  <si>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</si>
  <si>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</si>
  <si>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</si>
  <si>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</si>
  <si>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</si>
  <si>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</si>
  <si>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</si>
  <si>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</si>
  <si>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</si>
  <si>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</si>
  <si>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</si>
  <si>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</si>
  <si>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</si>
  <si>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</si>
  <si>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</si>
  <si>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</si>
  <si>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</si>
  <si>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</si>
  <si>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</si>
  <si>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</si>
  <si>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</si>
  <si>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</si>
  <si>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</si>
  <si>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</si>
  <si>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</si>
  <si>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</si>
  <si>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</si>
  <si>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</si>
  <si>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</si>
  <si>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</si>
  <si>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</si>
  <si>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</si>
  <si>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</si>
  <si>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</si>
  <si>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</si>
  <si>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</si>
  <si>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</si>
  <si>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</si>
  <si>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</si>
  <si>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</si>
  <si>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</si>
  <si>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</si>
  <si>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</si>
  <si>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</si>
  <si>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</si>
  <si>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</si>
  <si>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</si>
  <si>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</si>
  <si>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</si>
  <si>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</si>
  <si>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</si>
  <si>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</si>
  <si>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</si>
  <si>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</si>
  <si>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</si>
  <si>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</si>
  <si>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</si>
  <si>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</si>
  <si>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</si>
  <si>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</si>
  <si>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</si>
  <si>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</si>
  <si>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</si>
  <si>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</si>
  <si>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</si>
  <si>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</si>
  <si>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</si>
  <si>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</si>
  <si>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</si>
  <si>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</si>
  <si>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</si>
  <si>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</si>
  <si>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</si>
  <si>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</si>
  <si>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</si>
  <si>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</si>
  <si>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</si>
  <si>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</si>
  <si>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</si>
  <si>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</si>
  <si>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</si>
  <si>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</si>
  <si>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</si>
  <si>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</si>
  <si>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</si>
  <si>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</si>
  <si>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</si>
  <si>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</si>
  <si>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</si>
  <si>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</si>
  <si>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</si>
  <si>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</si>
  <si>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</si>
  <si>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</si>
  <si>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</si>
  <si>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</si>
  <si>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</si>
  <si>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</si>
  <si>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</si>
  <si>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</si>
  <si>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</si>
  <si>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</si>
  <si>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</si>
  <si>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</si>
  <si>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</si>
  <si>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</si>
  <si>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</si>
  <si>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</si>
  <si>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</si>
  <si>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</si>
  <si>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</si>
  <si>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</si>
  <si>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</si>
  <si>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</si>
  <si>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</si>
  <si>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</si>
  <si>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</si>
  <si>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</si>
  <si>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</si>
  <si>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</si>
  <si>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</si>
  <si>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</si>
  <si>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</si>
  <si>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</si>
  <si>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</si>
  <si>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</si>
  <si>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</si>
  <si>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</si>
  <si>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</si>
  <si>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</si>
  <si>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</si>
  <si>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</si>
  <si>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</si>
  <si>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</si>
  <si>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</si>
  <si>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</si>
  <si>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</si>
  <si>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</si>
  <si>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</si>
  <si>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</si>
  <si>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</si>
  <si>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</si>
  <si>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</si>
  <si>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</si>
  <si>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</si>
  <si>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</si>
  <si>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</si>
  <si>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</si>
  <si>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</si>
  <si>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</si>
  <si>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</si>
  <si>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</si>
  <si>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</si>
  <si>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</si>
  <si>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</si>
  <si>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</si>
  <si>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</si>
  <si>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</si>
  <si>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</si>
  <si>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</si>
  <si>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</si>
  <si>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</si>
  <si>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</si>
  <si>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</si>
  <si>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</si>
  <si>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</si>
  <si>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</si>
  <si>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</si>
  <si>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</si>
  <si>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</si>
  <si>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</si>
  <si>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</si>
  <si>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</si>
  <si>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</si>
  <si>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</si>
  <si>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</si>
  <si>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</si>
  <si>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</si>
  <si>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</si>
  <si>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</si>
  <si>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</si>
  <si>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</si>
  <si>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</si>
  <si>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</si>
  <si>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</si>
  <si>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</si>
  <si>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</si>
  <si>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</si>
  <si>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</si>
  <si>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</si>
  <si>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</si>
  <si>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</si>
  <si>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</si>
  <si>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</si>
  <si>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</si>
  <si>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</si>
  <si>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</si>
  <si>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</si>
  <si>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</si>
  <si>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</si>
  <si>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</si>
  <si>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</si>
  <si>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</si>
  <si>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</si>
  <si>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</si>
  <si>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</si>
  <si>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</si>
  <si>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</si>
  <si>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</si>
  <si>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</si>
  <si>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</si>
  <si>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</si>
  <si>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</si>
  <si>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</si>
  <si>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</si>
  <si>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</si>
  <si>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</si>
  <si>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</si>
  <si>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</si>
  <si>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</si>
  <si>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</si>
  <si>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</si>
  <si>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</si>
  <si>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</si>
  <si>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</si>
  <si>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</si>
  <si>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</si>
  <si>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</si>
  <si>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</si>
  <si>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</si>
  <si>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</si>
  <si>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</si>
  <si>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</si>
  <si>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</si>
  <si>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</si>
  <si>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</si>
  <si>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</si>
  <si>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</si>
  <si>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</si>
  <si>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</si>
  <si>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</si>
  <si>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</si>
  <si>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</si>
  <si>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</si>
  <si>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</si>
  <si>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</si>
  <si>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</si>
  <si>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</si>
  <si>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</si>
  <si>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</si>
  <si>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</si>
  <si>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</si>
  <si>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</si>
  <si>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</si>
  <si>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</si>
  <si>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</si>
  <si>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</si>
  <si>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</si>
  <si>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</si>
  <si>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</si>
  <si>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</si>
  <si>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</si>
  <si>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</si>
  <si>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</si>
  <si>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</si>
  <si>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</si>
  <si>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</si>
  <si>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</si>
  <si>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</si>
  <si>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</si>
  <si>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</si>
  <si>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</si>
  <si>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</si>
  <si>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</si>
  <si>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</si>
  <si>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</si>
  <si>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</si>
  <si>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</si>
  <si>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</si>
  <si>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</si>
  <si>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</si>
  <si>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</si>
  <si>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</si>
  <si>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</si>
  <si>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</si>
  <si>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</si>
  <si>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</si>
  <si>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</si>
  <si>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</si>
  <si>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</si>
  <si>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</si>
  <si>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</si>
  <si>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</si>
  <si>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</si>
  <si>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</si>
  <si>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</si>
  <si>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</si>
  <si>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</si>
  <si>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</si>
  <si>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</si>
  <si>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</si>
  <si>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</si>
  <si>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</si>
  <si>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</si>
  <si>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</si>
  <si>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</si>
  <si>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</si>
  <si>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</si>
  <si>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</si>
  <si>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</si>
  <si>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</si>
  <si>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</si>
  <si>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</si>
  <si>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</si>
  <si>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</si>
  <si>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</si>
  <si>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</si>
  <si>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</si>
  <si>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</si>
  <si>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</si>
  <si>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</si>
  <si>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</si>
  <si>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</si>
  <si>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</si>
  <si>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</si>
  <si>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</si>
  <si>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</si>
  <si>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</si>
  <si>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</si>
  <si>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</si>
  <si>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</si>
  <si>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</si>
  <si>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</si>
  <si>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</si>
  <si>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</si>
  <si>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</si>
  <si>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</si>
  <si>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</si>
  <si>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</si>
  <si>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</si>
  <si>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</si>
  <si>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</si>
  <si>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</si>
  <si>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</si>
  <si>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</si>
  <si>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</si>
  <si>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</si>
  <si>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</si>
  <si>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</si>
  <si>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</si>
  <si>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</si>
  <si>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</si>
  <si>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</si>
  <si>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</si>
  <si>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</si>
  <si>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</si>
  <si>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</si>
  <si>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</si>
  <si>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</si>
  <si>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</si>
  <si>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</si>
  <si>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</si>
  <si>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</si>
  <si>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</si>
  <si>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</si>
  <si>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</si>
  <si>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</si>
  <si>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</si>
  <si>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</si>
  <si>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</si>
  <si>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</si>
  <si>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</si>
  <si>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</si>
  <si>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</si>
  <si>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</si>
  <si>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</si>
  <si>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</si>
  <si>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</si>
  <si>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</si>
  <si>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</si>
  <si>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</si>
  <si>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</si>
  <si>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</si>
  <si>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</si>
  <si>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</si>
  <si>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</si>
  <si>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</si>
  <si>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</si>
  <si>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</si>
  <si>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</si>
  <si>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</si>
  <si>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</si>
  <si>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</si>
  <si>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</si>
  <si>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</si>
  <si>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</si>
  <si>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</si>
  <si>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</si>
  <si>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</si>
  <si>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</si>
  <si>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</si>
  <si>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</si>
  <si>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</si>
  <si>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</si>
  <si>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</si>
  <si>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</si>
  <si>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</si>
  <si>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</si>
  <si>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</si>
  <si>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</si>
  <si>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</si>
  <si>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</si>
  <si>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</si>
  <si>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</si>
  <si>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</si>
  <si>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</si>
  <si>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</si>
  <si>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</si>
  <si>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</si>
  <si>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</si>
  <si>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</si>
  <si>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</si>
  <si>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</si>
  <si>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</si>
  <si>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</si>
  <si>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</si>
  <si>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</si>
  <si>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</si>
  <si>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</si>
  <si>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</si>
  <si>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</si>
  <si>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</si>
  <si>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</si>
  <si>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</si>
  <si>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</si>
  <si>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</si>
  <si>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</si>
  <si>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</si>
  <si>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</si>
  <si>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</si>
  <si>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</si>
  <si>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</si>
  <si>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</si>
  <si>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</si>
  <si>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</si>
  <si>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</si>
  <si>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</si>
  <si>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</si>
  <si>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</si>
  <si>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</si>
  <si>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</si>
  <si>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</si>
  <si>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</si>
  <si>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</si>
  <si>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</si>
  <si>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</si>
  <si>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</si>
  <si>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</si>
  <si>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</si>
  <si>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</si>
  <si>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</si>
  <si>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</si>
  <si>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</si>
  <si>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</si>
  <si>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</si>
  <si>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</si>
  <si>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</si>
  <si>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</si>
  <si>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</si>
  <si>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</si>
  <si>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</si>
  <si>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</si>
  <si>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</si>
  <si>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</si>
  <si>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</si>
  <si>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</si>
  <si>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</si>
  <si>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</si>
  <si>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</si>
  <si>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</si>
  <si>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</si>
  <si>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</si>
  <si>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</si>
  <si>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</si>
  <si>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</si>
  <si>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</si>
  <si>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</si>
  <si>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</si>
  <si>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</si>
  <si>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</si>
  <si>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</si>
  <si>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</si>
  <si>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</si>
  <si>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</si>
  <si>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</si>
  <si>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</si>
  <si>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</si>
  <si>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</si>
  <si>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</si>
  <si>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</si>
  <si>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</si>
  <si>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</si>
  <si>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</si>
  <si>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</si>
  <si>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</si>
  <si>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</si>
  <si>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</si>
  <si>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</si>
  <si>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</si>
  <si>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</si>
  <si>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</si>
  <si>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</si>
  <si>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</si>
  <si>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</si>
  <si>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</si>
  <si>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</si>
  <si>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</si>
  <si>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</si>
  <si>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</si>
  <si>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</si>
  <si>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</si>
  <si>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</si>
  <si>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</si>
  <si>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</si>
  <si>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</si>
  <si>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</si>
  <si>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</si>
  <si>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</si>
  <si>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</si>
  <si>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</si>
  <si>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</si>
  <si>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</si>
  <si>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</si>
  <si>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</si>
  <si>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</si>
  <si>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</si>
  <si>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</si>
  <si>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</si>
  <si>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</si>
  <si>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</si>
  <si>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</si>
  <si>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</si>
  <si>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</si>
  <si>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</si>
  <si>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</si>
  <si>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</si>
  <si>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</si>
  <si>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</si>
  <si>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</si>
  <si>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</si>
  <si>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</si>
  <si>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</si>
  <si>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</si>
  <si>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</si>
  <si>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</si>
  <si>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</si>
  <si>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</si>
  <si>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</si>
  <si>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</si>
  <si>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</si>
  <si>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</si>
  <si>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</si>
  <si>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</si>
  <si>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</si>
  <si>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</si>
  <si>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</si>
  <si>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</si>
  <si>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</si>
  <si>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</si>
  <si>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</si>
  <si>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</si>
  <si>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</si>
  <si>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</si>
  <si>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</si>
  <si>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</si>
  <si>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</si>
  <si>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</si>
  <si>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</si>
  <si>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</si>
  <si>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</si>
  <si>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</si>
  <si>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</si>
  <si>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</si>
  <si>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</si>
  <si>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</si>
  <si>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</si>
  <si>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</si>
  <si>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</si>
  <si>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</si>
  <si>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</si>
  <si>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</si>
  <si>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</si>
  <si>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</si>
  <si>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</si>
  <si>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</si>
  <si>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</si>
  <si>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</si>
  <si>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</si>
  <si>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</si>
  <si>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</si>
  <si>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</si>
  <si>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</si>
  <si>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</si>
  <si>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</si>
  <si>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</si>
  <si>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</si>
  <si>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</si>
  <si>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</si>
  <si>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</si>
  <si>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</si>
  <si>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</si>
  <si>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</si>
  <si>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</si>
  <si>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</si>
  <si>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</si>
  <si>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</si>
  <si>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</si>
  <si>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</si>
  <si>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</si>
  <si>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</si>
  <si>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</si>
  <si>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</si>
  <si>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</si>
  <si>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</si>
  <si>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</si>
  <si>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</si>
  <si>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</si>
  <si>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</si>
  <si>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</si>
  <si>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</si>
  <si>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</si>
  <si>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</si>
  <si>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</si>
  <si>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</si>
  <si>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</si>
  <si>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</si>
  <si>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</si>
  <si>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</si>
  <si>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</si>
  <si>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</si>
  <si>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</si>
  <si>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</si>
  <si>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</si>
  <si>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</si>
  <si>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</si>
  <si>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</si>
  <si>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</si>
  <si>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</si>
  <si>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</si>
  <si>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</si>
  <si>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</si>
  <si>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</si>
  <si>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</si>
  <si>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</si>
  <si>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</si>
  <si>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</si>
  <si>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</si>
  <si>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</si>
  <si>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</si>
  <si>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</si>
  <si>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</si>
  <si>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</si>
  <si>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</si>
  <si>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</si>
  <si>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</si>
  <si>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</si>
  <si>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</si>
  <si>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</si>
  <si>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</si>
  <si>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</si>
  <si>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</si>
  <si>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</si>
  <si>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</si>
  <si>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</si>
  <si>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</si>
  <si>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</si>
  <si>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</si>
  <si>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</si>
  <si>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</si>
  <si>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</si>
  <si>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</si>
  <si>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</si>
  <si>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</si>
  <si>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</si>
  <si>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</si>
  <si>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</si>
  <si>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</si>
  <si>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</si>
  <si>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</si>
  <si>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</si>
  <si>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</si>
  <si>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</si>
  <si>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</si>
  <si>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</si>
  <si>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</si>
  <si>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</si>
  <si>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</si>
  <si>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</si>
  <si>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</si>
  <si>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</si>
  <si>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</si>
  <si>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</si>
  <si>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</si>
  <si>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</si>
  <si>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</si>
  <si>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</si>
  <si>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</si>
  <si>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</si>
  <si>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</si>
  <si>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</si>
  <si>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</si>
  <si>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</si>
  <si>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</si>
  <si>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</si>
  <si>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</si>
  <si>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</si>
  <si>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</si>
  <si>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</si>
  <si>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</si>
  <si>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</si>
  <si>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</si>
  <si>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</si>
  <si>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</si>
  <si>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</si>
  <si>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</si>
  <si>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</si>
  <si>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</si>
  <si>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</si>
  <si>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</si>
  <si>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</si>
  <si>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</si>
  <si>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</si>
  <si>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</si>
  <si>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</si>
  <si>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</si>
  <si>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</si>
  <si>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</si>
  <si>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</si>
  <si>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</si>
  <si>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</si>
  <si>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</si>
  <si>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</si>
  <si>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</si>
  <si>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</si>
  <si>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</si>
  <si>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</si>
  <si>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</si>
  <si>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</si>
  <si>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</si>
  <si>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</si>
  <si>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</si>
  <si>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</si>
  <si>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</si>
  <si>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</si>
  <si>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</si>
  <si>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</si>
  <si>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</si>
  <si>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</si>
  <si>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</si>
  <si>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</si>
  <si>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</si>
  <si>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</si>
  <si>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</si>
  <si>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</si>
  <si>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</si>
  <si>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</si>
  <si>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</si>
  <si>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</si>
  <si>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</si>
  <si>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</si>
  <si>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</si>
  <si>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</si>
  <si>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</si>
  <si>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</si>
  <si>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</si>
  <si>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</si>
  <si>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</si>
  <si>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</si>
  <si>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</si>
  <si>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</si>
  <si>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</si>
  <si>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</si>
  <si>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</si>
  <si>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</si>
  <si>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</si>
  <si>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</si>
  <si>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</si>
  <si>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</si>
  <si>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</si>
  <si>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</si>
  <si>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</si>
  <si>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</si>
  <si>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</si>
  <si>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</si>
  <si>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</si>
  <si>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</si>
  <si>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</si>
  <si>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</si>
  <si>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</si>
  <si>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</si>
  <si>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</si>
  <si>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</si>
  <si>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</si>
  <si>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</si>
  <si>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</si>
  <si>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</si>
  <si>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</si>
  <si>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</si>
  <si>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</si>
  <si>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</si>
  <si>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</si>
  <si>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</si>
  <si>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</si>
  <si>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</si>
  <si>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</si>
  <si>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</si>
  <si>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</si>
  <si>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</si>
  <si>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</si>
  <si>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</si>
  <si>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</si>
  <si>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</si>
  <si>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</si>
  <si>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</si>
  <si>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</si>
  <si>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</si>
  <si>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</si>
  <si>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</si>
  <si>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</si>
  <si>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</si>
  <si>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</si>
  <si>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</si>
  <si>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</si>
  <si>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</si>
  <si>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</si>
  <si>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</si>
  <si>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</si>
  <si>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</si>
  <si>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</si>
  <si>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</si>
  <si>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</si>
  <si>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</si>
  <si>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</si>
  <si>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</si>
  <si>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</si>
  <si>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</si>
  <si>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</si>
  <si>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</si>
  <si>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</si>
  <si>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</si>
  <si>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</si>
  <si>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</si>
  <si>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</si>
  <si>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</si>
  <si>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</si>
  <si>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</si>
  <si>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</si>
  <si>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</si>
  <si>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</si>
  <si>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</si>
  <si>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</si>
  <si>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</si>
  <si>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</si>
  <si>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</si>
  <si>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</si>
  <si>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</si>
  <si>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</si>
  <si>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</si>
  <si>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</si>
  <si>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</si>
  <si>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</si>
  <si>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</si>
  <si>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</si>
  <si>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</si>
  <si>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</si>
  <si>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</si>
  <si>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</si>
  <si>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</si>
  <si>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</si>
  <si>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</si>
  <si>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</si>
  <si>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</si>
  <si>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</si>
  <si>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</si>
  <si>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</si>
  <si>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</si>
  <si>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</si>
  <si>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</si>
  <si>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</si>
  <si>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</si>
  <si>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</si>
  <si>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</si>
  <si>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</si>
  <si>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</si>
  <si>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</si>
  <si>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</si>
  <si>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</si>
  <si>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</si>
  <si>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</si>
  <si>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</si>
  <si>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</si>
  <si>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</si>
  <si>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</si>
  <si>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</si>
  <si>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</si>
  <si>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</si>
  <si>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</si>
  <si>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</si>
  <si>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</si>
  <si>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</si>
  <si>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</si>
  <si>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</si>
  <si>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</si>
  <si>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</si>
  <si>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</si>
  <si>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</si>
  <si>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</si>
  <si>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</si>
  <si>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</si>
  <si>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</si>
  <si>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</si>
  <si>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</si>
  <si>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</si>
  <si>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</si>
  <si>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</si>
  <si>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</si>
  <si>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</si>
  <si>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</si>
  <si>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</si>
  <si>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</si>
  <si>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</si>
  <si>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</si>
  <si>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</si>
  <si>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</si>
  <si>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</si>
  <si>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</si>
  <si>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</si>
  <si>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</si>
  <si>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</si>
  <si>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</si>
  <si>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</si>
  <si>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</si>
  <si>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</si>
  <si>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</si>
  <si>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</si>
  <si>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</si>
  <si>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</si>
  <si>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</si>
  <si>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</si>
  <si>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</si>
  <si>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</si>
  <si>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</si>
  <si>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</si>
  <si>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</si>
  <si>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</si>
  <si>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</si>
  <si>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</si>
  <si>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</si>
  <si>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</si>
  <si>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</si>
  <si>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</si>
  <si>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</si>
  <si>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</si>
  <si>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</si>
  <si>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</si>
  <si>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</si>
  <si>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</si>
  <si>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</si>
  <si>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</si>
  <si>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</si>
  <si>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</si>
  <si>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</si>
  <si>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</si>
  <si>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</si>
  <si>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</si>
  <si>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</si>
  <si>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</si>
  <si>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</si>
  <si>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</si>
  <si>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</si>
  <si>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</si>
  <si>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</si>
  <si>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</si>
  <si>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</si>
  <si>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</si>
  <si>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</si>
  <si>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</si>
  <si>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</si>
  <si>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</si>
  <si>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</si>
  <si>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</si>
  <si>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</si>
  <si>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</si>
  <si>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</si>
  <si>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</si>
  <si>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</si>
  <si>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</si>
  <si>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</si>
  <si>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</si>
  <si>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</si>
  <si>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</si>
  <si>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</si>
  <si>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</si>
  <si>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</si>
  <si>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</si>
  <si>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</si>
  <si>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</si>
  <si>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</si>
  <si>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</si>
  <si>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</si>
  <si>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</si>
  <si>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</si>
  <si>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</si>
  <si>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</si>
  <si>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</si>
  <si>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</si>
  <si>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</si>
  <si>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</si>
  <si>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</si>
  <si>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</si>
  <si>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</si>
  <si>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</si>
  <si>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</si>
  <si>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</si>
  <si>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</si>
  <si>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</si>
  <si>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</si>
  <si>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</si>
  <si>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</si>
  <si>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</si>
  <si>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</si>
  <si>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</si>
  <si>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</si>
  <si>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</si>
  <si>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</si>
  <si>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</si>
  <si>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</si>
  <si>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</si>
  <si>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</si>
  <si>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</si>
  <si>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</si>
  <si>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</si>
  <si>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</si>
  <si>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</si>
  <si>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</si>
  <si>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</si>
  <si>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</si>
  <si>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</si>
  <si>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</si>
  <si>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</si>
  <si>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</si>
  <si>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</si>
  <si>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</si>
  <si>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</si>
  <si>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</si>
  <si>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</si>
  <si>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</si>
  <si>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</si>
  <si>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</si>
  <si>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</si>
  <si>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</si>
  <si>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</si>
  <si>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</si>
  <si>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</si>
  <si>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</si>
  <si>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</si>
  <si>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</si>
  <si>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</si>
  <si>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</si>
  <si>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</si>
  <si>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</si>
  <si>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</si>
  <si>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</si>
  <si>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</si>
  <si>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</si>
  <si>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</si>
  <si>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</si>
  <si>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</si>
  <si>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</si>
  <si>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</si>
  <si>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</si>
  <si>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</si>
  <si>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</si>
  <si>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</si>
  <si>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</si>
  <si>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</si>
  <si>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</si>
  <si>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</si>
  <si>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</si>
  <si>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</si>
  <si>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</si>
  <si>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</si>
  <si>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</si>
  <si>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</si>
  <si>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</si>
  <si>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</si>
  <si>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</si>
  <si>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</si>
  <si>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</si>
  <si>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</si>
  <si>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</si>
  <si>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</si>
  <si>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</si>
  <si>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</si>
  <si>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</si>
  <si>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</si>
  <si>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</si>
  <si>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</si>
  <si>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</si>
  <si>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</si>
  <si>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</si>
  <si>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</si>
  <si>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</si>
  <si>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</si>
  <si>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</si>
  <si>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</si>
  <si>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</si>
  <si>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</si>
  <si>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</si>
  <si>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</si>
  <si>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</si>
  <si>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</si>
  <si>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</si>
  <si>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</si>
  <si>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</si>
  <si>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</si>
  <si>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</si>
  <si>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</si>
  <si>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</si>
  <si>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</si>
  <si>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</si>
  <si>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</si>
  <si>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</si>
  <si>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</si>
  <si>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</si>
  <si>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</si>
  <si>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</si>
  <si>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</si>
  <si>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</si>
  <si>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</si>
  <si>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</si>
  <si>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</si>
  <si>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</si>
  <si>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</si>
  <si>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</si>
  <si>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</si>
  <si>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</si>
  <si>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</si>
  <si>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</si>
  <si>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</si>
  <si>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</si>
  <si>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</si>
  <si>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</si>
  <si>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</si>
  <si>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</si>
  <si>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</si>
  <si>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</si>
  <si>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</si>
  <si>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</si>
  <si>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</si>
  <si>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</si>
  <si>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</si>
  <si>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</si>
  <si>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</si>
  <si>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</si>
  <si>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</si>
  <si>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</si>
  <si>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</si>
  <si>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</si>
  <si>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</si>
  <si>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</si>
  <si>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</si>
  <si>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</si>
  <si>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</si>
  <si>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</si>
  <si>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</si>
  <si>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</si>
  <si>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</si>
  <si>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</si>
  <si>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</si>
  <si>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</si>
  <si>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</si>
  <si>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</si>
  <si>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</si>
  <si>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</si>
  <si>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</si>
  <si>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</si>
  <si>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</si>
  <si>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</si>
  <si>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</si>
  <si>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</si>
  <si>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</si>
  <si>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</si>
  <si>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</si>
  <si>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</si>
  <si>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</si>
  <si>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</si>
  <si>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</si>
  <si>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</si>
  <si>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</si>
  <si>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</si>
  <si>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</si>
  <si>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</si>
  <si>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</si>
  <si>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</si>
  <si>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</si>
  <si>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</si>
  <si>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</si>
  <si>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</si>
  <si>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</si>
  <si>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</si>
  <si>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</si>
  <si>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</si>
  <si>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</si>
  <si>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</si>
  <si>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</si>
  <si>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</si>
  <si>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</si>
  <si>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</si>
  <si>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</si>
  <si>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</si>
  <si>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</si>
  <si>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</si>
  <si>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</si>
  <si>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</si>
  <si>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</si>
  <si>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</si>
  <si>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</si>
  <si>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</si>
  <si>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</si>
  <si>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</si>
  <si>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</si>
  <si>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</si>
  <si>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</si>
  <si>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</si>
  <si>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</si>
  <si>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</si>
  <si>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</si>
  <si>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</si>
  <si>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</si>
  <si>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</si>
  <si>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</si>
  <si>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</si>
  <si>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</si>
  <si>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</si>
  <si>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</si>
  <si>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</si>
  <si>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</si>
  <si>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</si>
  <si>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</si>
  <si>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</si>
  <si>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</si>
  <si>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</si>
  <si>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</si>
  <si>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</si>
  <si>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</si>
  <si>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</si>
  <si>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</si>
  <si>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</si>
  <si>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</si>
  <si>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</si>
  <si>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</si>
  <si>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</si>
  <si>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</si>
  <si>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</si>
  <si>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</si>
  <si>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</si>
  <si>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</si>
  <si>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</si>
  <si>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</si>
  <si>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</si>
  <si>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</si>
  <si>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</si>
  <si>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</si>
  <si>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</si>
  <si>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</si>
  <si>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</si>
  <si>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</si>
  <si>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</si>
  <si>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</si>
  <si>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</si>
  <si>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</si>
  <si>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</si>
  <si>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</si>
  <si>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</si>
  <si>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</si>
  <si>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</si>
  <si>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</si>
  <si>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</si>
  <si>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</si>
  <si>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</si>
  <si>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</si>
  <si>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</si>
  <si>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</si>
  <si>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</si>
  <si>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</si>
  <si>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</si>
  <si>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</si>
  <si>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</si>
  <si>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</si>
  <si>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</si>
  <si>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</si>
  <si>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</si>
  <si>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</si>
  <si>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</si>
  <si>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</si>
  <si>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</si>
  <si>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</si>
  <si>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</si>
  <si>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</si>
  <si>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</si>
  <si>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</si>
  <si>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</si>
  <si>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</si>
  <si>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</si>
  <si>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</si>
  <si>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</si>
  <si>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</si>
  <si>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</si>
  <si>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</si>
  <si>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</si>
  <si>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</si>
  <si>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</si>
  <si>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</si>
  <si>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</si>
  <si>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</si>
  <si>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</si>
  <si>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</si>
  <si>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</si>
  <si>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</si>
  <si>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</si>
  <si>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</si>
  <si>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</si>
  <si>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</si>
  <si>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</si>
  <si>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</si>
  <si>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</si>
  <si>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</si>
  <si>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</si>
  <si>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</si>
  <si>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</si>
  <si>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</si>
  <si>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</si>
  <si>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</si>
  <si>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</si>
  <si>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</si>
  <si>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</si>
  <si>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</si>
  <si>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</si>
  <si>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</si>
  <si>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</si>
  <si>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</si>
  <si>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</si>
  <si>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</si>
  <si>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</si>
  <si>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</si>
  <si>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</si>
  <si>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</si>
  <si>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</si>
  <si>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</si>
  <si>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</si>
  <si>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</si>
  <si>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</si>
  <si>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</si>
  <si>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</si>
  <si>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</si>
  <si>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</si>
  <si>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</si>
  <si>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</si>
  <si>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</si>
  <si>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</si>
  <si>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</si>
  <si>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</si>
  <si>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</si>
  <si>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</si>
  <si>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</si>
  <si>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</si>
  <si>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</si>
  <si>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</si>
  <si>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</si>
  <si>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</si>
  <si>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</si>
  <si>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</si>
  <si>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</si>
  <si>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</si>
  <si>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</si>
  <si>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</si>
  <si>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</si>
  <si>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</si>
  <si>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</si>
  <si>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</si>
  <si>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</si>
  <si>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</si>
  <si>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</si>
  <si>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</si>
  <si>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</si>
  <si>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</si>
  <si>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</si>
  <si>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</si>
  <si>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</si>
  <si>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</si>
  <si>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</si>
  <si>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</si>
  <si>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</si>
  <si>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</si>
  <si>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</si>
  <si>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</si>
  <si>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</si>
  <si>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</si>
  <si>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</si>
  <si>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</si>
  <si>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</si>
  <si>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</si>
  <si>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</si>
  <si>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</si>
  <si>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</si>
  <si>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</si>
  <si>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</si>
  <si>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</si>
  <si>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</si>
  <si>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</si>
  <si>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</si>
  <si>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</si>
  <si>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</si>
  <si>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</si>
  <si>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</si>
  <si>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</si>
  <si>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</si>
  <si>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</si>
  <si>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</si>
  <si>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</si>
  <si>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</si>
  <si>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</si>
  <si>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</si>
  <si>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</si>
  <si>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</si>
  <si>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</si>
  <si>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</si>
  <si>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</si>
  <si>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</si>
  <si>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</si>
  <si>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</si>
  <si>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</si>
  <si>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</si>
  <si>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</si>
  <si>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</si>
  <si>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</si>
  <si>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</si>
  <si>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</si>
  <si>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</si>
  <si>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</si>
  <si>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</si>
  <si>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</si>
  <si>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</si>
  <si>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</si>
  <si>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</si>
  <si>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</si>
  <si>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</si>
  <si>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</si>
  <si>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</si>
  <si>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</si>
  <si>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</si>
  <si>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</si>
  <si>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</si>
  <si>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</si>
  <si>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</si>
  <si>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</si>
  <si>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</si>
  <si>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</si>
  <si>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</si>
  <si>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</si>
  <si>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</si>
  <si>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</si>
  <si>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</si>
  <si>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</si>
  <si>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</si>
  <si>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</si>
  <si>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</si>
  <si>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</si>
  <si>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</si>
  <si>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</si>
  <si>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</si>
  <si>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</si>
  <si>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</si>
  <si>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</si>
  <si>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</si>
  <si>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</si>
  <si>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</si>
  <si>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</si>
  <si>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</si>
  <si>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</si>
  <si>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</si>
  <si>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</si>
  <si>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</si>
  <si>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</si>
  <si>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</si>
  <si>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</si>
  <si>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</si>
  <si>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</si>
  <si>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</si>
  <si>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</si>
  <si>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</si>
  <si>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</si>
  <si>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</si>
  <si>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</si>
  <si>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</si>
  <si>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</si>
  <si>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</si>
  <si>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</si>
  <si>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</si>
  <si>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</si>
  <si>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</si>
  <si>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</si>
  <si>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</si>
  <si>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</si>
  <si>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</si>
  <si>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</si>
  <si>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</si>
  <si>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</si>
  <si>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</si>
  <si>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</si>
  <si>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</si>
  <si>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</si>
  <si>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</si>
  <si>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</si>
  <si>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</si>
  <si>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</si>
  <si>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</si>
  <si>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</si>
  <si>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</si>
  <si>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</si>
  <si>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</si>
  <si>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</si>
  <si>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</si>
  <si>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</si>
  <si>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</si>
  <si>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</si>
  <si>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</si>
  <si>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</si>
  <si>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</si>
  <si>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</si>
  <si>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</si>
  <si>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</si>
  <si>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</si>
  <si>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</si>
  <si>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</si>
  <si>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</si>
  <si>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</si>
  <si>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</si>
  <si>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</si>
  <si>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</si>
  <si>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</si>
  <si>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</si>
  <si>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</si>
  <si>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</si>
  <si>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</si>
  <si>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</si>
  <si>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</si>
  <si>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</si>
  <si>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</si>
  <si>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</si>
  <si>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</si>
  <si>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</si>
  <si>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</si>
  <si>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</si>
  <si>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</si>
  <si>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</si>
  <si>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</si>
  <si>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</si>
  <si>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</si>
  <si>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</si>
  <si>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</si>
  <si>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</si>
  <si>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</si>
  <si>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</si>
  <si>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</si>
  <si>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</si>
  <si>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</si>
  <si>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</si>
  <si>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</si>
  <si>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</si>
  <si>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</si>
  <si>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</si>
  <si>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</si>
  <si>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</si>
  <si>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</si>
  <si>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</si>
  <si>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</si>
  <si>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</si>
  <si>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</si>
  <si>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</si>
  <si>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</si>
  <si>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</si>
  <si>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</si>
  <si>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</si>
  <si>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</si>
  <si>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</si>
  <si>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</si>
  <si>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</si>
  <si>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</si>
  <si>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</si>
  <si>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</si>
  <si>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</si>
  <si>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</si>
  <si>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</si>
  <si>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</si>
  <si>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</si>
  <si>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</si>
  <si>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</si>
  <si>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</si>
  <si>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</si>
  <si>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</si>
  <si>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</si>
  <si>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</si>
  <si>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</si>
  <si>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</si>
  <si>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</si>
  <si>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</si>
  <si>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</si>
  <si>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</si>
  <si>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</si>
  <si>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</si>
  <si>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</si>
  <si>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</si>
  <si>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</si>
  <si>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</si>
  <si>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</si>
  <si>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</si>
  <si>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</si>
  <si>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</si>
  <si>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</si>
  <si>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</si>
  <si>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</si>
  <si>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</si>
  <si>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</si>
  <si>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</si>
  <si>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</si>
  <si>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</si>
  <si>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</si>
  <si>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</si>
  <si>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</si>
  <si>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</si>
  <si>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</si>
  <si>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</si>
  <si>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</si>
  <si>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</si>
  <si>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</si>
  <si>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</si>
  <si>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</si>
  <si>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</si>
  <si>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</si>
  <si>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</si>
  <si>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</si>
  <si>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</si>
  <si>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</si>
  <si>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</si>
  <si>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</si>
  <si>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</si>
  <si>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</si>
  <si>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</si>
  <si>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</si>
  <si>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</si>
  <si>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</si>
  <si>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</si>
  <si>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</si>
  <si>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</si>
  <si>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</si>
  <si>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</si>
  <si>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</si>
  <si>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</si>
  <si>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</si>
  <si>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</si>
  <si>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</si>
  <si>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</si>
  <si>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</si>
  <si>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</si>
  <si>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</si>
  <si>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</si>
  <si>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</si>
  <si>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</si>
  <si>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</si>
  <si>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</si>
  <si>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</si>
  <si>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</si>
  <si>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</si>
  <si>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</si>
  <si>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</si>
  <si>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</si>
  <si>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</si>
  <si>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</si>
  <si>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</si>
  <si>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</si>
  <si>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</si>
  <si>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</si>
  <si>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</si>
  <si>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</si>
  <si>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</si>
  <si>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</si>
  <si>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</si>
  <si>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</si>
  <si>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</si>
  <si>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</si>
  <si>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</si>
  <si>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</si>
  <si>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</si>
  <si>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</si>
  <si>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</si>
  <si>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</si>
  <si>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</si>
  <si>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</si>
  <si>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</si>
  <si>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</si>
  <si>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</si>
  <si>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</si>
  <si>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</si>
  <si>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</si>
  <si>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</si>
  <si>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</si>
  <si>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</si>
  <si>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</si>
  <si>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</si>
  <si>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</si>
  <si>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</si>
  <si>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</si>
  <si>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</si>
  <si>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</si>
  <si>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</si>
  <si>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</si>
  <si>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</si>
  <si>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</si>
  <si>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</si>
  <si>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</si>
  <si>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</si>
  <si>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</si>
  <si>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</si>
  <si>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</si>
  <si>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</si>
  <si>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</si>
  <si>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</si>
  <si>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</si>
  <si>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</si>
  <si>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</si>
  <si>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</si>
  <si>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</si>
  <si>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</si>
  <si>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</si>
  <si>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</si>
  <si>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</si>
  <si>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</si>
  <si>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</si>
  <si>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</si>
  <si>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</si>
  <si>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</si>
  <si>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</si>
  <si>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</si>
  <si>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</si>
  <si>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</si>
  <si>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</si>
  <si>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</si>
  <si>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</si>
  <si>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</si>
  <si>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</si>
  <si>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</si>
  <si>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</si>
  <si>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</si>
  <si>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</si>
  <si>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</si>
  <si>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</si>
  <si>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</si>
  <si>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</si>
  <si>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</si>
  <si>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</si>
  <si>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</si>
  <si>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</si>
  <si>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</si>
  <si>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</si>
  <si>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</si>
  <si>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</si>
  <si>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</si>
  <si>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</si>
  <si>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</si>
  <si>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</si>
  <si>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</si>
  <si>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</si>
  <si>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</si>
  <si>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</si>
  <si>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</si>
  <si>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</si>
  <si>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</si>
  <si>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</si>
  <si>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</si>
  <si>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</si>
  <si>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</si>
  <si>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</si>
  <si>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</si>
  <si>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</si>
  <si>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</si>
  <si>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</si>
  <si>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</si>
  <si>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</si>
  <si>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</si>
  <si>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</si>
  <si>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</si>
  <si>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</si>
  <si>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</si>
  <si>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</si>
  <si>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</si>
  <si>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</si>
  <si>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</si>
  <si>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</si>
  <si>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</si>
  <si>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</si>
  <si>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</si>
  <si>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</si>
  <si>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</si>
  <si>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</si>
  <si>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</si>
  <si>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</si>
  <si>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</si>
  <si>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</si>
  <si>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</si>
  <si>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</si>
  <si>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</si>
  <si>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</si>
  <si>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</si>
  <si>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</si>
  <si>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</si>
  <si>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</si>
  <si>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</si>
  <si>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</si>
  <si>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</si>
  <si>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</si>
  <si>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</si>
  <si>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</si>
  <si>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</si>
  <si>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</si>
  <si>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</si>
  <si>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</si>
  <si>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</si>
  <si>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</si>
  <si>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</si>
  <si>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</si>
  <si>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</si>
  <si>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</si>
  <si>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</si>
  <si>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</si>
  <si>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</si>
  <si>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</si>
  <si>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</si>
  <si>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</si>
  <si>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</si>
  <si>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</si>
  <si>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</si>
  <si>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</si>
  <si>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</si>
  <si>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</si>
  <si>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</si>
  <si>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</si>
  <si>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</si>
  <si>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</si>
  <si>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</si>
  <si>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</si>
  <si>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</si>
  <si>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</si>
  <si>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</si>
  <si>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</si>
  <si>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</si>
  <si>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</si>
  <si>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</si>
  <si>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</si>
  <si>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</si>
  <si>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</si>
  <si>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</si>
  <si>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</si>
  <si>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</si>
  <si>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</si>
  <si>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</si>
  <si>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</si>
  <si>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</si>
  <si>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</si>
  <si>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</si>
  <si>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</si>
  <si>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</si>
  <si>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</si>
  <si>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</si>
  <si>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</si>
  <si>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</si>
  <si>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</si>
  <si>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</si>
  <si>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</si>
  <si>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</si>
  <si>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</si>
  <si>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</si>
  <si>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</si>
  <si>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</si>
  <si>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</si>
  <si>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</si>
  <si>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</si>
  <si>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</si>
  <si>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</si>
  <si>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</si>
  <si>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</si>
  <si>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</si>
  <si>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</si>
  <si>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</si>
  <si>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</si>
  <si>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</si>
  <si>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</si>
  <si>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</si>
  <si>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</si>
  <si>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</si>
  <si>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</si>
  <si>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</si>
  <si>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</si>
  <si>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</si>
  <si>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</si>
  <si>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</si>
  <si>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</si>
  <si>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</si>
  <si>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</si>
  <si>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</si>
  <si>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</si>
  <si>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</si>
  <si>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</si>
  <si>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</si>
  <si>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</si>
  <si>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</si>
  <si>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</si>
  <si>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</si>
  <si>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</si>
  <si>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</si>
  <si>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</si>
  <si>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</si>
  <si>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</si>
  <si>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</si>
  <si>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</si>
  <si>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</si>
  <si>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</si>
  <si>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</si>
  <si>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</si>
  <si>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</si>
  <si>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</si>
  <si>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</si>
  <si>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</si>
  <si>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</si>
  <si>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</si>
  <si>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</si>
  <si>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</si>
  <si>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</si>
  <si>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</si>
  <si>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</si>
  <si>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</si>
  <si>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</si>
  <si>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</si>
  <si>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</si>
  <si>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</si>
  <si>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</si>
  <si>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</si>
  <si>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</si>
  <si>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</si>
  <si>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</si>
  <si>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</si>
  <si>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</si>
  <si>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</si>
  <si>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</si>
  <si>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</si>
  <si>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</si>
  <si>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</si>
  <si>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</si>
  <si>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</si>
  <si>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</si>
  <si>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</si>
  <si>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</si>
  <si>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</si>
  <si>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</si>
  <si>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</si>
  <si>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</si>
  <si>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</si>
  <si>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</si>
  <si>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</si>
  <si>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</si>
  <si>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</si>
  <si>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</si>
  <si>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</si>
  <si>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</si>
  <si>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</si>
  <si>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</si>
  <si>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</si>
  <si>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</si>
  <si>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</si>
  <si>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</si>
  <si>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</si>
  <si>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</si>
  <si>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</si>
  <si>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</si>
  <si>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</si>
  <si>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</si>
  <si>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</si>
  <si>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</si>
  <si>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</si>
  <si>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</si>
  <si>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</si>
  <si>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</si>
  <si>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</si>
  <si>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</si>
  <si>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</si>
  <si>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</si>
  <si>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</si>
  <si>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</si>
  <si>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</si>
  <si>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</si>
  <si>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</si>
  <si>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</si>
  <si>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</si>
  <si>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</si>
  <si>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</si>
  <si>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</si>
  <si>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</si>
  <si>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</si>
  <si>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</si>
  <si>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</si>
  <si>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</si>
  <si>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</si>
  <si>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</si>
  <si>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</si>
  <si>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</si>
  <si>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</si>
  <si>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</si>
  <si>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</si>
  <si>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</si>
  <si>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</si>
  <si>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</si>
  <si>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</si>
  <si>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</si>
  <si>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</si>
  <si>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</si>
  <si>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</si>
  <si>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</si>
  <si>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</si>
  <si>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</si>
  <si>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</si>
  <si>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</si>
  <si>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</si>
  <si>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</si>
  <si>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</si>
  <si>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</si>
  <si>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</si>
  <si>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</si>
  <si>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</si>
  <si>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</si>
  <si>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</si>
  <si>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</si>
  <si>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</si>
  <si>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</si>
  <si>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</si>
  <si>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</si>
  <si>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</si>
  <si>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</si>
  <si>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</si>
  <si>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</si>
  <si>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</si>
  <si>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</si>
  <si>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</si>
  <si>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</si>
  <si>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</si>
  <si>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</si>
  <si>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</si>
  <si>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</si>
  <si>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</si>
  <si>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</si>
  <si>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</si>
  <si>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</si>
  <si>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</si>
  <si>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</si>
  <si>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</si>
  <si>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</si>
  <si>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</si>
  <si>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</si>
  <si>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</si>
  <si>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</si>
  <si>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</si>
  <si>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</si>
  <si>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</si>
  <si>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</si>
  <si>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</si>
  <si>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</si>
  <si>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</si>
  <si>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</si>
  <si>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</si>
  <si>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</si>
  <si>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</si>
  <si>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</si>
  <si>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</si>
  <si>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</si>
  <si>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</si>
  <si>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</si>
  <si>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</si>
  <si>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</si>
  <si>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</si>
  <si>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</si>
  <si>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</si>
  <si>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</si>
  <si>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</si>
  <si>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</si>
  <si>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</si>
  <si>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</si>
  <si>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</si>
  <si>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</si>
  <si>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</si>
  <si>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</si>
  <si>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</si>
  <si>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</si>
  <si>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</si>
  <si>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</si>
  <si>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</si>
  <si>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</si>
  <si>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</si>
  <si>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</si>
  <si>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</si>
  <si>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</si>
  <si>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</si>
  <si>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</si>
  <si>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</si>
  <si>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</si>
  <si>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</si>
  <si>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</si>
  <si>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</si>
  <si>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</si>
  <si>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</si>
  <si>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</si>
  <si>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</si>
  <si>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</si>
  <si>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</si>
  <si>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</si>
  <si>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</si>
  <si>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</si>
  <si>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</si>
  <si>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</si>
  <si>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</si>
  <si>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</si>
  <si>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</si>
  <si>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</si>
  <si>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</si>
  <si>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</si>
  <si>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</si>
  <si>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</si>
  <si>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</si>
  <si>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</si>
  <si>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</si>
  <si>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</si>
  <si>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</si>
  <si>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</si>
  <si>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</si>
  <si>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</si>
  <si>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</si>
  <si>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</si>
  <si>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</si>
  <si>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</si>
  <si>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</si>
  <si>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</si>
  <si>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</si>
  <si>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</si>
  <si>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</si>
  <si>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</si>
  <si>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</si>
  <si>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</si>
  <si>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</si>
  <si>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</si>
  <si>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</si>
  <si>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</si>
  <si>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</si>
  <si>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</si>
  <si>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</si>
  <si>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</si>
  <si>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</si>
  <si>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</si>
  <si>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</si>
  <si>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</si>
  <si>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</si>
  <si>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</si>
  <si>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</si>
  <si>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</si>
  <si>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</si>
  <si>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</si>
  <si>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</si>
  <si>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</si>
  <si>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</si>
  <si>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</si>
  <si>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</si>
  <si>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</si>
  <si>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</si>
  <si>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</si>
  <si>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</si>
  <si>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</si>
  <si>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</si>
  <si>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</si>
  <si>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</si>
  <si>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</si>
  <si>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</si>
  <si>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</si>
  <si>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</si>
  <si>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</si>
  <si>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</si>
  <si>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</si>
  <si>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</si>
  <si>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</si>
  <si>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</si>
  <si>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</si>
  <si>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</si>
  <si>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</si>
  <si>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</si>
  <si>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</si>
  <si>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</si>
  <si>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</si>
  <si>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</si>
  <si>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</si>
  <si>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</si>
  <si>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</si>
  <si>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</si>
  <si>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</si>
  <si>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</si>
  <si>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</si>
  <si>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</si>
  <si>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</si>
  <si>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</si>
  <si>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</si>
  <si>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</si>
  <si>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</si>
  <si>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</si>
  <si>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</si>
  <si>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</si>
  <si>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</si>
  <si>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</si>
  <si>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</si>
  <si>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</si>
  <si>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</si>
  <si>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</si>
  <si>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</si>
  <si>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</si>
  <si>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</si>
  <si>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</si>
  <si>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</si>
  <si>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</si>
  <si>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</si>
  <si>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</si>
  <si>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</si>
  <si>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</si>
  <si>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</si>
  <si>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</si>
  <si>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</si>
  <si>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</si>
  <si>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</si>
  <si>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</si>
  <si>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</si>
  <si>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</si>
  <si>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</si>
  <si>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</si>
  <si>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</si>
  <si>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</si>
  <si>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</si>
  <si>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</si>
  <si>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</si>
  <si>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</si>
  <si>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</si>
  <si>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</si>
  <si>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</si>
  <si>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</si>
  <si>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</si>
  <si>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</si>
  <si>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</si>
  <si>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</si>
  <si>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</si>
  <si>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</si>
  <si>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</si>
  <si>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</si>
  <si>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</si>
  <si>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</si>
  <si>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</si>
  <si>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</si>
  <si>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</si>
  <si>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</si>
  <si>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</si>
  <si>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</si>
  <si>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</si>
  <si>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</si>
  <si>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</si>
  <si>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</si>
  <si>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</si>
  <si>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</si>
  <si>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</si>
  <si>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</si>
  <si>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</si>
  <si>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</si>
  <si>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</si>
  <si>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</si>
  <si>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</si>
  <si>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</si>
  <si>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</si>
  <si>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</si>
  <si>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</si>
  <si>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</si>
  <si>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</si>
  <si>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</si>
  <si>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</si>
  <si>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</si>
  <si>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</si>
  <si>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</si>
  <si>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</si>
  <si>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</si>
  <si>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</si>
  <si>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</si>
  <si>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</si>
  <si>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</si>
  <si>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</si>
  <si>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</si>
  <si>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</si>
  <si>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</si>
  <si>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</si>
  <si>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</si>
  <si>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</si>
  <si>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</si>
  <si>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</si>
  <si>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</si>
  <si>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</si>
  <si>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</si>
  <si>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</si>
  <si>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</si>
  <si>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</si>
  <si>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</si>
  <si>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</si>
  <si>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</si>
  <si>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</si>
  <si>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</si>
  <si>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</si>
  <si>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</si>
  <si>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</si>
  <si>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</si>
  <si>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</si>
  <si>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</si>
  <si>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</si>
  <si>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</si>
  <si>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</si>
  <si>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</si>
  <si>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</si>
  <si>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</si>
  <si>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</si>
  <si>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</si>
  <si>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</si>
  <si>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</si>
  <si>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</si>
  <si>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</si>
  <si>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</si>
  <si>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</si>
  <si>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</si>
  <si>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</si>
  <si>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</si>
  <si>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</si>
  <si>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</si>
  <si>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</si>
  <si>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</si>
  <si>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</si>
  <si>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</si>
  <si>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</si>
  <si>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</si>
  <si>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</si>
  <si>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</si>
  <si>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</si>
  <si>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</si>
  <si>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</si>
  <si>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</si>
  <si>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</si>
  <si>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</si>
  <si>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</si>
  <si>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</si>
  <si>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</si>
  <si>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</si>
  <si>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</si>
  <si>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</si>
  <si>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</si>
  <si>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</si>
  <si>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</si>
  <si>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</si>
  <si>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</si>
  <si>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</si>
  <si>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</si>
  <si>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</si>
  <si>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</si>
  <si>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</si>
  <si>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</si>
  <si>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</si>
  <si>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</si>
  <si>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</si>
  <si>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</si>
  <si>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</si>
  <si>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</si>
  <si>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</si>
  <si>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</si>
  <si>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</si>
  <si>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</si>
  <si>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</si>
  <si>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</si>
  <si>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</si>
  <si>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</si>
  <si>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</si>
  <si>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</si>
  <si>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</si>
  <si>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</si>
  <si>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</si>
  <si>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</si>
  <si>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</si>
  <si>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</si>
  <si>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</si>
  <si>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</si>
  <si>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</si>
  <si>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</si>
  <si>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</si>
  <si>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</si>
  <si>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</si>
  <si>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</si>
  <si>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</si>
  <si>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</si>
  <si>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</si>
  <si>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</si>
  <si>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</si>
  <si>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</si>
  <si>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</si>
  <si>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</si>
  <si>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</si>
  <si>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</si>
  <si>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</si>
  <si>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</si>
  <si>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</si>
  <si>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</si>
  <si>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</si>
  <si>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</si>
  <si>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</si>
  <si>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</si>
  <si>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</si>
  <si>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</si>
  <si>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</si>
  <si>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</si>
  <si>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</si>
  <si>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</si>
  <si>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</si>
  <si>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</si>
  <si>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</si>
  <si>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</si>
  <si>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</si>
  <si>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</si>
  <si>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</si>
  <si>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</si>
  <si>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</si>
  <si>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</si>
  <si>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</si>
  <si>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</si>
  <si>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</si>
  <si>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</si>
  <si>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</si>
  <si>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</si>
  <si>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</si>
  <si>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</si>
  <si>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</si>
  <si>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</si>
  <si>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</si>
  <si>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</si>
  <si>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</si>
  <si>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</si>
  <si>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</si>
  <si>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</si>
  <si>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</si>
  <si>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</si>
  <si>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</si>
  <si>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</si>
  <si>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</si>
  <si>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</si>
  <si>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</si>
  <si>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</si>
  <si>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</si>
  <si>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</si>
  <si>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</si>
  <si>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</si>
  <si>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</si>
  <si>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</si>
  <si>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</si>
  <si>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</si>
  <si>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</si>
  <si>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</si>
  <si>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</si>
  <si>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</si>
  <si>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</si>
  <si>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</si>
  <si>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</si>
  <si>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</si>
  <si>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</si>
  <si>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</si>
  <si>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</si>
  <si>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</si>
  <si>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</si>
  <si>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</si>
  <si>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</si>
  <si>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</si>
  <si>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</si>
  <si>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</si>
  <si>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</si>
  <si>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</si>
  <si>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</si>
  <si>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</si>
  <si>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</si>
  <si>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</si>
  <si>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</si>
  <si>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</si>
  <si>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</si>
  <si>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</si>
  <si>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</si>
  <si>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</si>
  <si>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</si>
  <si>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</si>
  <si>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</si>
  <si>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</si>
  <si>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</si>
  <si>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</si>
  <si>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</si>
  <si>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</si>
  <si>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</si>
  <si>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</si>
  <si>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</si>
  <si>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</si>
  <si>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</si>
  <si>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</si>
  <si>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</si>
  <si>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</si>
  <si>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</si>
  <si>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</si>
  <si>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</si>
  <si>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</si>
  <si>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</si>
  <si>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</si>
  <si>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</si>
  <si>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</si>
  <si>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</si>
  <si>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</si>
  <si>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</si>
  <si>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</si>
  <si>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</si>
  <si>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</si>
  <si>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</si>
  <si>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</si>
  <si>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</si>
  <si>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</si>
  <si>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</si>
  <si>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</si>
  <si>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</si>
  <si>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</si>
  <si>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</si>
  <si>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</si>
  <si>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</si>
  <si>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</si>
  <si>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</si>
  <si>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</si>
  <si>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</si>
  <si>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</si>
  <si>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</si>
  <si>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</si>
  <si>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</si>
  <si>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</si>
  <si>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</si>
  <si>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</si>
  <si>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</si>
  <si>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</si>
  <si>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</si>
  <si>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</si>
  <si>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</si>
  <si>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</si>
  <si>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</si>
  <si>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</si>
  <si>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</si>
  <si>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</si>
  <si>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</si>
  <si>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</si>
  <si>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</si>
  <si>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</si>
  <si>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</si>
  <si>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</si>
  <si>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</si>
  <si>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</si>
  <si>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</si>
  <si>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</si>
  <si>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</si>
  <si>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</si>
  <si>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</si>
  <si>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</si>
  <si>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</si>
  <si>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</si>
  <si>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</si>
  <si>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</si>
  <si>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</si>
  <si>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</si>
  <si>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</si>
  <si>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</si>
  <si>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</si>
  <si>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</si>
  <si>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</si>
  <si>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</si>
  <si>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</si>
  <si>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</si>
  <si>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</si>
  <si>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</si>
  <si>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</si>
  <si>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</si>
  <si>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</si>
  <si>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</si>
  <si>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</si>
  <si>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</si>
  <si>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</si>
  <si>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</si>
  <si>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</si>
  <si>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</si>
  <si>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</si>
  <si>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</si>
  <si>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</si>
  <si>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</si>
  <si>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</si>
  <si>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</si>
  <si>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</si>
  <si>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</si>
  <si>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</si>
  <si>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</si>
  <si>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</si>
  <si>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</si>
  <si>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</si>
  <si>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</si>
  <si>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</si>
  <si>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</si>
  <si>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</si>
  <si>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</si>
  <si>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</si>
  <si>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</si>
  <si>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</si>
  <si>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</si>
  <si>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</si>
  <si>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</si>
  <si>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</si>
  <si>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</si>
  <si>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</si>
  <si>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</si>
  <si>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</si>
  <si>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</si>
  <si>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</si>
  <si>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</si>
  <si>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</si>
  <si>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</si>
  <si>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</si>
  <si>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</si>
  <si>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</si>
  <si>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</si>
  <si>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</si>
  <si>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</si>
  <si>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</si>
  <si>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</si>
  <si>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</si>
  <si>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</si>
  <si>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</si>
  <si>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</si>
  <si>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</si>
  <si>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</si>
  <si>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</si>
  <si>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</si>
  <si>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</si>
  <si>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</si>
  <si>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</si>
  <si>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</si>
  <si>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</si>
  <si>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</si>
  <si>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</si>
  <si>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</si>
  <si>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</si>
  <si>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</si>
  <si>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</si>
  <si>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</si>
  <si>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</si>
  <si>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</si>
  <si>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</si>
  <si>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</si>
  <si>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</si>
  <si>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</si>
  <si>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</si>
  <si>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</si>
  <si>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</si>
  <si>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</si>
  <si>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</si>
  <si>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</si>
  <si>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</si>
  <si>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</si>
  <si>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</si>
  <si>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</si>
  <si>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</si>
  <si>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</si>
  <si>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</si>
  <si>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</si>
  <si>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</si>
  <si>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</si>
  <si>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</si>
  <si>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</si>
  <si>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</si>
  <si>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</si>
  <si>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</si>
  <si>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</si>
  <si>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</si>
  <si>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</si>
  <si>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</si>
  <si>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</si>
  <si>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</si>
  <si>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</si>
  <si>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</si>
  <si>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</si>
  <si>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</si>
  <si>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</si>
  <si>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</si>
  <si>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</si>
  <si>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</si>
  <si>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</si>
  <si>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</si>
  <si>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</si>
  <si>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</si>
  <si>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</si>
  <si>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</si>
  <si>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</si>
  <si>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</si>
  <si>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</si>
  <si>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</si>
  <si>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</si>
  <si>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</si>
  <si>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</si>
  <si>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</si>
  <si>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</si>
  <si>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</si>
  <si>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</si>
  <si>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</si>
  <si>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</si>
  <si>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</si>
  <si>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</si>
  <si>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</si>
  <si>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</si>
  <si>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</si>
  <si>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</si>
  <si>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</si>
  <si>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</si>
  <si>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</si>
  <si>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</si>
  <si>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</si>
  <si>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</si>
  <si>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</si>
  <si>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</si>
  <si>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</si>
  <si>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</si>
  <si>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</si>
  <si>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</si>
  <si>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</si>
  <si>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</si>
  <si>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</si>
  <si>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</si>
  <si>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</si>
  <si>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</si>
  <si>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</si>
  <si>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</si>
  <si>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</si>
  <si>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</si>
  <si>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</si>
  <si>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</si>
  <si>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</si>
  <si>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</si>
  <si>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</si>
  <si>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</si>
  <si>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</si>
  <si>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</si>
  <si>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</si>
  <si>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</si>
  <si>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</si>
  <si>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</si>
  <si>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</si>
  <si>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</si>
  <si>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</si>
  <si>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</si>
  <si>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</si>
  <si>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</si>
  <si>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</si>
  <si>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</si>
  <si>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</si>
  <si>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</si>
  <si>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</si>
  <si>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</si>
  <si>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</si>
  <si>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</si>
  <si>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</si>
  <si>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</si>
  <si>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</si>
  <si>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</si>
  <si>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</si>
  <si>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</si>
  <si>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</si>
  <si>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</si>
  <si>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</si>
  <si>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</si>
  <si>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</si>
  <si>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</si>
  <si>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</si>
  <si>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</si>
  <si>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</si>
  <si>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</si>
  <si>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</si>
  <si>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</si>
  <si>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</si>
  <si>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</si>
  <si>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</si>
  <si>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</si>
  <si>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</si>
  <si>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</si>
  <si>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</si>
  <si>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</si>
  <si>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</si>
  <si>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</si>
  <si>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</si>
  <si>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</si>
  <si>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</si>
  <si>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</si>
  <si>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</si>
  <si>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</si>
  <si>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</si>
  <si>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</si>
  <si>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</si>
  <si>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</si>
  <si>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</si>
  <si>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</si>
  <si>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</si>
  <si>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</si>
  <si>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</si>
  <si>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</si>
  <si>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</si>
  <si>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</si>
  <si>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</si>
  <si>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</si>
  <si>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</si>
  <si>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</si>
  <si>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</si>
  <si>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</si>
  <si>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</si>
  <si>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</si>
  <si>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</si>
  <si>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</si>
  <si>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</si>
  <si>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</si>
  <si>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</si>
  <si>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</si>
  <si>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</si>
  <si>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</si>
  <si>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</si>
  <si>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</si>
  <si>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</si>
  <si>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</si>
  <si>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</si>
  <si>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</si>
  <si>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</si>
  <si>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</si>
  <si>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</si>
  <si>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</si>
  <si>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</si>
  <si>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</si>
  <si>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</si>
  <si>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</si>
  <si>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</si>
  <si>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</si>
  <si>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</si>
  <si>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</si>
  <si>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</si>
  <si>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</si>
  <si>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</si>
  <si>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</si>
  <si>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</si>
  <si>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</si>
  <si>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</si>
  <si>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</si>
  <si>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</si>
  <si>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</si>
  <si>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</si>
  <si>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</si>
  <si>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</si>
  <si>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</si>
  <si>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</si>
  <si>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</si>
  <si>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</si>
  <si>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</si>
  <si>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</si>
  <si>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</si>
  <si>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</si>
  <si>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</si>
  <si>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</si>
  <si>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</si>
  <si>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</si>
  <si>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</si>
  <si>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</si>
  <si>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</si>
  <si>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</si>
  <si>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</si>
  <si>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</si>
  <si>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</si>
  <si>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</si>
  <si>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</si>
  <si>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</si>
  <si>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</si>
  <si>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</si>
  <si>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</si>
  <si>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</si>
  <si>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</si>
  <si>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</si>
  <si>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</si>
  <si>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</si>
  <si>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</si>
  <si>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</si>
  <si>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</si>
  <si>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</si>
  <si>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</si>
  <si>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</si>
  <si>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</si>
  <si>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</si>
  <si>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</si>
  <si>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</si>
  <si>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</si>
  <si>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</si>
  <si>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</si>
  <si>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</si>
  <si>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</si>
  <si>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</si>
  <si>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</si>
  <si>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</si>
  <si>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</si>
  <si>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</si>
  <si>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</si>
  <si>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</si>
  <si>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</si>
  <si>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</si>
  <si>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</si>
  <si>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</si>
  <si>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</si>
  <si>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</si>
  <si>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</si>
  <si>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</si>
  <si>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</si>
  <si>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</si>
  <si>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</si>
  <si>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</si>
  <si>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</si>
  <si>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</si>
  <si>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</si>
  <si>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</si>
  <si>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</si>
  <si>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</si>
  <si>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</si>
  <si>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</si>
  <si>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</si>
  <si>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</si>
  <si>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</si>
  <si>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</si>
  <si>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</si>
  <si>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</si>
  <si>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</si>
  <si>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</si>
  <si>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</si>
  <si>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</si>
  <si>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</si>
  <si>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</si>
  <si>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</si>
  <si>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</si>
  <si>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</si>
  <si>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</si>
  <si>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</si>
  <si>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</si>
  <si>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</si>
  <si>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</si>
  <si>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</si>
  <si>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</si>
  <si>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</si>
  <si>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</si>
  <si>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</si>
  <si>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</si>
  <si>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</si>
  <si>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</si>
  <si>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</si>
  <si>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</si>
  <si>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</si>
  <si>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</si>
  <si>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</si>
  <si>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</si>
  <si>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</si>
  <si>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</si>
  <si>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</si>
  <si>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</si>
  <si>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</si>
  <si>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</si>
  <si>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</si>
  <si>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</si>
  <si>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</si>
  <si>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</si>
  <si>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</si>
  <si>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</si>
  <si>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</si>
  <si>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</si>
  <si>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</si>
  <si>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</si>
  <si>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</si>
  <si>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</si>
  <si>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</si>
  <si>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</si>
  <si>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</si>
  <si>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</si>
  <si>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</si>
  <si>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</si>
  <si>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</si>
  <si>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</si>
  <si>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</si>
  <si>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</si>
  <si>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</si>
  <si>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</si>
  <si>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</si>
  <si>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</si>
  <si>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</si>
  <si>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</si>
  <si>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</si>
  <si>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</si>
  <si>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</si>
  <si>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</si>
  <si>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</si>
  <si>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</si>
  <si>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</si>
  <si>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</si>
  <si>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</si>
  <si>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</si>
  <si>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</si>
  <si>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</si>
  <si>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</si>
  <si>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</si>
  <si>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</si>
  <si>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</si>
  <si>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</si>
  <si>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</si>
  <si>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</si>
  <si>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</si>
  <si>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</si>
  <si>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</si>
  <si>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</si>
  <si>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</si>
  <si>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</si>
  <si>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</si>
  <si>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</si>
  <si>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</si>
  <si>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</si>
  <si>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</si>
  <si>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</si>
  <si>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</si>
  <si>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</si>
  <si>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</si>
  <si>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</si>
  <si>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</si>
  <si>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</si>
  <si>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</si>
  <si>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</si>
  <si>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</si>
  <si>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</si>
  <si>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</si>
  <si>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</si>
  <si>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</si>
  <si>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</si>
  <si>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</si>
  <si>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</si>
  <si>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</si>
  <si>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</si>
  <si>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</si>
  <si>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</si>
  <si>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</si>
  <si>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</si>
  <si>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</si>
  <si>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</si>
  <si>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</si>
  <si>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</si>
  <si>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</si>
  <si>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</si>
  <si>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</si>
  <si>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</si>
  <si>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</si>
  <si>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</si>
  <si>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</si>
  <si>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</si>
  <si>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</si>
  <si>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</si>
  <si>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</si>
  <si>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</si>
  <si>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</si>
  <si>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</si>
  <si>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</si>
  <si>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</si>
  <si>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</si>
  <si>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</si>
  <si>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</si>
  <si>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</si>
  <si>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</si>
  <si>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</si>
  <si>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</si>
  <si>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</si>
  <si>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</si>
  <si>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</si>
  <si>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</si>
  <si>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</si>
  <si>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</si>
  <si>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</si>
  <si>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</si>
  <si>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</si>
  <si>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</si>
  <si>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</si>
  <si>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</si>
  <si>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</si>
  <si>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</si>
  <si>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</si>
  <si>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</si>
  <si>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</si>
  <si>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</si>
  <si>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</si>
  <si>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</si>
  <si>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</si>
  <si>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</si>
  <si>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</si>
  <si>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</si>
  <si>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</si>
  <si>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</si>
  <si>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</si>
  <si>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</si>
  <si>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</si>
  <si>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</si>
  <si>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</si>
  <si>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</si>
  <si>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</si>
  <si>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</si>
  <si>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</si>
  <si>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</si>
  <si>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</si>
  <si>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</si>
  <si>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</si>
  <si>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</si>
  <si>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</si>
  <si>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</si>
  <si>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</si>
  <si>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</si>
  <si>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</si>
  <si>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</si>
  <si>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</si>
  <si>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</si>
  <si>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</si>
  <si>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</si>
  <si>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</si>
  <si>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</si>
  <si>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</si>
  <si>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</si>
  <si>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</si>
  <si>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</si>
  <si>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</si>
  <si>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</si>
  <si>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</si>
  <si>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</si>
  <si>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</si>
  <si>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</si>
  <si>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</si>
  <si>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</si>
  <si>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</si>
  <si>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</si>
  <si>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</si>
  <si>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</si>
  <si>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</si>
  <si>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</si>
  <si>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</si>
  <si>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</si>
  <si>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</si>
  <si>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</si>
  <si>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</si>
  <si>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</si>
  <si>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</si>
  <si>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</si>
  <si>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</si>
  <si>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</si>
  <si>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</si>
  <si>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</si>
  <si>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</si>
  <si>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</si>
  <si>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</si>
  <si>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</si>
  <si>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</si>
  <si>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</si>
  <si>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</si>
  <si>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</si>
  <si>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</si>
  <si>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</si>
  <si>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</si>
  <si>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</si>
  <si>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</si>
  <si>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</si>
  <si>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</si>
  <si>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</si>
  <si>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</si>
  <si>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</si>
  <si>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</si>
  <si>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</si>
  <si>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</si>
  <si>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</si>
  <si>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</si>
  <si>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</si>
  <si>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</si>
  <si>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</si>
  <si>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</si>
  <si>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</si>
  <si>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</si>
  <si>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</si>
  <si>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</si>
  <si>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</si>
  <si>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</si>
  <si>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</si>
  <si>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</si>
  <si>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</si>
  <si>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</si>
  <si>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</si>
  <si>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</si>
  <si>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</si>
  <si>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</si>
  <si>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</si>
  <si>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</si>
  <si>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</si>
  <si>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</si>
  <si>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</si>
  <si>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</si>
  <si>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</si>
  <si>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</si>
  <si>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</si>
  <si>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</si>
  <si>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</si>
  <si>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</si>
  <si>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</si>
  <si>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</si>
  <si>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</si>
  <si>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</si>
  <si>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</si>
  <si>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</si>
  <si>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</si>
  <si>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</si>
  <si>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</si>
  <si>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</si>
  <si>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</si>
  <si>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</si>
  <si>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</si>
  <si>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</si>
  <si>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</si>
  <si>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</si>
  <si>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</si>
  <si>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</si>
  <si>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</si>
  <si>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</si>
  <si>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</si>
  <si>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</si>
  <si>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</si>
  <si>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</si>
  <si>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</si>
  <si>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</si>
  <si>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</si>
  <si>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</si>
  <si>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</si>
  <si>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</si>
  <si>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</si>
  <si>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</si>
  <si>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</si>
  <si>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</si>
  <si>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</si>
  <si>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</si>
  <si>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</si>
  <si>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</si>
  <si>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</si>
  <si>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</si>
  <si>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</si>
  <si>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</si>
  <si>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</si>
  <si>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</si>
  <si>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</si>
  <si>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</si>
  <si>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</si>
  <si>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</si>
  <si>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</si>
  <si>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</si>
  <si>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</si>
  <si>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</si>
  <si>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</si>
  <si>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</si>
  <si>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</si>
  <si>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</si>
  <si>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</si>
  <si>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</si>
  <si>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</si>
  <si>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</si>
  <si>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</si>
  <si>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</si>
  <si>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</si>
  <si>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</si>
  <si>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</si>
  <si>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</si>
  <si>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</si>
  <si>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</si>
  <si>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</si>
  <si>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</si>
  <si>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</si>
  <si>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</si>
  <si>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</si>
  <si>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</si>
  <si>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</si>
  <si>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</si>
  <si>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</si>
  <si>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</si>
  <si>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</si>
  <si>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</si>
  <si>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</si>
  <si>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</si>
  <si>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</si>
  <si>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</si>
  <si>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</si>
  <si>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</si>
  <si>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</si>
  <si>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</si>
  <si>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</si>
  <si>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</si>
  <si>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</si>
  <si>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</si>
  <si>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</si>
  <si>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</si>
  <si>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</si>
  <si>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</si>
  <si>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</si>
  <si>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</si>
  <si>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</si>
  <si>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</si>
  <si>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</si>
  <si>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</si>
  <si>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</si>
  <si>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</si>
  <si>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</si>
  <si>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</si>
  <si>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</si>
  <si>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</si>
  <si>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</si>
  <si>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</si>
  <si>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</si>
  <si>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</si>
  <si>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</si>
  <si>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</si>
  <si>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</si>
  <si>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</si>
  <si>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</si>
  <si>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</si>
  <si>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</si>
  <si>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</si>
  <si>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</si>
  <si>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</si>
  <si>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</si>
  <si>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</si>
  <si>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</si>
  <si>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</si>
  <si>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</si>
  <si>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</si>
  <si>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</si>
  <si>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</si>
  <si>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</si>
  <si>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</si>
  <si>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</si>
  <si>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</si>
  <si>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</si>
  <si>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</si>
  <si>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</si>
  <si>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</si>
  <si>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</si>
  <si>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</si>
  <si>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</si>
  <si>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</si>
  <si>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</si>
  <si>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</si>
  <si>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</si>
  <si>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</si>
  <si>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</si>
  <si>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</si>
  <si>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</si>
  <si>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</si>
  <si>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</si>
  <si>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</si>
  <si>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</si>
  <si>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</si>
  <si>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</si>
  <si>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</si>
  <si>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</si>
  <si>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</si>
  <si>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</si>
  <si>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</si>
  <si>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</si>
  <si>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</si>
  <si>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</si>
  <si>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</si>
  <si>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</si>
  <si>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</si>
  <si>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</si>
  <si>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</si>
  <si>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</si>
  <si>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</si>
  <si>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</si>
  <si>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</si>
  <si>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</si>
  <si>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</si>
  <si>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</si>
  <si>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</si>
  <si>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</si>
  <si>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</si>
  <si>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</si>
  <si>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</si>
  <si>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</si>
  <si>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</si>
  <si>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</si>
  <si>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</si>
  <si>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</si>
  <si>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</si>
  <si>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</si>
  <si>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</si>
  <si>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</si>
  <si>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</si>
  <si>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</si>
  <si>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</si>
  <si>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</si>
  <si>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</si>
  <si>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</si>
  <si>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</si>
  <si>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</si>
  <si>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</si>
  <si>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</si>
  <si>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</si>
  <si>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</si>
  <si>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</si>
  <si>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</si>
  <si>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</si>
  <si>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</si>
  <si>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</si>
  <si>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</si>
  <si>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</si>
  <si>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</si>
  <si>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</si>
  <si>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</si>
  <si>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</si>
  <si>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</si>
  <si>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</si>
  <si>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</si>
  <si>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</si>
  <si>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</si>
  <si>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</si>
  <si>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</si>
  <si>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</si>
  <si>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</si>
  <si>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</si>
  <si>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</si>
  <si>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</si>
  <si>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</si>
  <si>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</si>
  <si>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</si>
  <si>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</si>
  <si>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</si>
  <si>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</si>
  <si>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</si>
  <si>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</si>
  <si>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</si>
  <si>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</si>
  <si>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</si>
  <si>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</si>
  <si>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</si>
  <si>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</si>
  <si>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</si>
  <si>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</si>
  <si>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</si>
  <si>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</si>
  <si>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</si>
  <si>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</si>
  <si>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</si>
  <si>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</si>
  <si>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</si>
  <si>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</si>
  <si>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</si>
  <si>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</si>
  <si>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</si>
  <si>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</si>
  <si>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</si>
  <si>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</si>
  <si>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</si>
  <si>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</si>
  <si>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</si>
  <si>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</si>
  <si>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</si>
  <si>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</si>
  <si>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</si>
  <si>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</si>
  <si>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</si>
  <si>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</si>
  <si>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</si>
  <si>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</si>
  <si>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</si>
  <si>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</si>
  <si>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</si>
  <si>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</si>
  <si>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</si>
  <si>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</si>
  <si>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</si>
  <si>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</si>
  <si>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</si>
  <si>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</si>
  <si>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</si>
  <si>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</si>
  <si>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</si>
  <si>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</si>
  <si>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</si>
  <si>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</si>
  <si>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</si>
  <si>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</si>
  <si>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</si>
  <si>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</si>
  <si>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</si>
  <si>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</si>
  <si>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</si>
  <si>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</si>
  <si>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</si>
  <si>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</si>
  <si>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</si>
  <si>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</si>
  <si>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</si>
  <si>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</si>
  <si>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</si>
  <si>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</si>
  <si>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</si>
  <si>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</si>
  <si>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</si>
  <si>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</si>
  <si>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</si>
  <si>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</si>
  <si>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</si>
  <si>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</si>
  <si>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</si>
  <si>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</si>
  <si>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</si>
  <si>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</si>
  <si>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</si>
  <si>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</si>
  <si>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</si>
  <si>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</si>
  <si>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</si>
  <si>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</si>
  <si>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</si>
  <si>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</si>
  <si>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</si>
  <si>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</si>
  <si>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</si>
  <si>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</si>
  <si>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</si>
  <si>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</si>
  <si>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</si>
  <si>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</si>
  <si>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</si>
  <si>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</si>
  <si>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</si>
  <si>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</si>
  <si>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</si>
  <si>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</si>
  <si>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</si>
  <si>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</si>
  <si>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</si>
  <si>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</si>
  <si>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</si>
  <si>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</si>
  <si>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</si>
  <si>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</si>
  <si>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</si>
  <si>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</si>
  <si>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</si>
  <si>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</si>
  <si>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</si>
  <si>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</si>
  <si>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</si>
  <si>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</si>
  <si>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</si>
  <si>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</si>
  <si>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</si>
  <si>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</si>
  <si>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</si>
  <si>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</si>
  <si>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</si>
  <si>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</si>
  <si>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</si>
  <si>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</si>
  <si>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</si>
  <si>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</si>
  <si>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</si>
  <si>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</si>
  <si>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</si>
  <si>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</si>
  <si>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</si>
  <si>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</si>
  <si>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</si>
  <si>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</si>
  <si>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</si>
  <si>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</si>
  <si>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</si>
  <si>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</si>
  <si>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</si>
  <si>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</si>
  <si>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</si>
  <si>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</si>
  <si>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</si>
  <si>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</si>
  <si>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</si>
  <si>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</si>
  <si>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</si>
  <si>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</si>
  <si>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</si>
  <si>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</si>
  <si>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</si>
  <si>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</si>
  <si>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</si>
  <si>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</si>
  <si>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</si>
  <si>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</si>
  <si>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</si>
  <si>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</si>
  <si>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</si>
  <si>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</si>
  <si>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</si>
  <si>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</si>
  <si>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</si>
  <si>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</si>
  <si>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</si>
  <si>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</si>
  <si>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</si>
  <si>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</si>
  <si>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</si>
  <si>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</si>
  <si>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</si>
  <si>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</si>
  <si>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</si>
  <si>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</si>
  <si>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</si>
  <si>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</si>
  <si>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</si>
  <si>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</si>
  <si>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</si>
  <si>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</si>
  <si>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</si>
  <si>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</si>
  <si>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</si>
  <si>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</si>
  <si>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</si>
  <si>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</si>
  <si>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</si>
  <si>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</si>
  <si>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</si>
  <si>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</si>
  <si>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</si>
  <si>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</si>
  <si>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</si>
  <si>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</si>
  <si>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</si>
  <si>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</si>
  <si>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</si>
  <si>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</si>
  <si>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</si>
  <si>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</si>
  <si>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</si>
  <si>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</si>
  <si>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</si>
  <si>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</si>
  <si>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</si>
  <si>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</si>
  <si>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</si>
  <si>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</si>
  <si>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</si>
  <si>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</si>
  <si>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</si>
  <si>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</si>
  <si>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</si>
  <si>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</si>
  <si>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</si>
  <si>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</si>
  <si>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</si>
  <si>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</si>
  <si>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</si>
  <si>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</si>
  <si>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</si>
  <si>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</si>
  <si>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</si>
  <si>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</si>
  <si>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</si>
  <si>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</si>
  <si>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</si>
  <si>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</si>
  <si>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</si>
  <si>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</si>
  <si>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</si>
  <si>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</si>
  <si>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</si>
  <si>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</si>
  <si>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</si>
  <si>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</si>
  <si>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</si>
  <si>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</si>
  <si>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</si>
  <si>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</si>
  <si>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</si>
  <si>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</si>
  <si>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</si>
  <si>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</si>
  <si>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</si>
  <si>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</si>
  <si>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</si>
  <si>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</si>
  <si>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</si>
  <si>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</si>
  <si>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</si>
  <si>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</si>
  <si>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</si>
  <si>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</si>
  <si>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</si>
  <si>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</si>
  <si>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</si>
  <si>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</si>
  <si>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</si>
  <si>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</si>
  <si>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</si>
  <si>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</si>
  <si>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</si>
  <si>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</si>
  <si>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</si>
  <si>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</si>
  <si>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</si>
  <si>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</si>
  <si>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</si>
  <si>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</si>
  <si>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</si>
  <si>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</si>
  <si>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</si>
  <si>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</si>
  <si>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</si>
  <si>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</si>
  <si>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</si>
  <si>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</si>
  <si>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</si>
  <si>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</si>
  <si>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</si>
  <si>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</si>
  <si>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</si>
  <si>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</si>
  <si>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</si>
  <si>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</si>
  <si>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</si>
  <si>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</si>
  <si>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</si>
  <si>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</si>
  <si>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</si>
  <si>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</si>
  <si>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</si>
  <si>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</si>
  <si>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</si>
  <si>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</si>
  <si>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</si>
  <si>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</si>
  <si>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</si>
  <si>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</si>
  <si>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</si>
  <si>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</si>
  <si>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</si>
  <si>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</si>
  <si>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</si>
  <si>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</si>
  <si>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</si>
  <si>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</si>
  <si>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</si>
  <si>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</si>
  <si>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</si>
  <si>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</si>
  <si>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</si>
  <si>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</si>
  <si>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</si>
  <si>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</si>
  <si>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</si>
  <si>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</si>
  <si>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</si>
  <si>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</si>
  <si>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</si>
  <si>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</si>
  <si>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</si>
  <si>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</si>
  <si>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</si>
  <si>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</si>
  <si>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</si>
  <si>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</si>
  <si>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</si>
  <si>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</si>
  <si>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</si>
  <si>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</si>
  <si>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</si>
  <si>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</si>
  <si>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</si>
  <si>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</si>
  <si>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</si>
  <si>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</si>
  <si>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</si>
  <si>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</si>
  <si>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</si>
  <si>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</si>
  <si>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</si>
  <si>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</si>
  <si>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</si>
  <si>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</si>
  <si>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</si>
  <si>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</si>
  <si>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</si>
  <si>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</si>
  <si>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</si>
  <si>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</si>
  <si>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</si>
  <si>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</si>
  <si>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</si>
  <si>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</si>
  <si>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</si>
  <si>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</si>
  <si>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</si>
  <si>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</si>
  <si>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</si>
  <si>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</si>
  <si>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</si>
  <si>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</si>
  <si>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</si>
  <si>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</si>
  <si>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</si>
  <si>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</si>
  <si>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</si>
  <si>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</si>
  <si>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</si>
  <si>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</si>
  <si>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</si>
  <si>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</si>
  <si>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</si>
  <si>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</si>
  <si>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</si>
  <si>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</si>
  <si>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</si>
  <si>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</si>
  <si>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</si>
  <si>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</si>
  <si>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</si>
  <si>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</si>
  <si>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</si>
  <si>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</si>
  <si>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</si>
  <si>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</si>
  <si>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</si>
  <si>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</si>
  <si>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</si>
  <si>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</si>
  <si>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</si>
  <si>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</si>
  <si>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</si>
  <si>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</si>
  <si>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</si>
  <si>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</si>
  <si>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</si>
  <si>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</si>
  <si>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</si>
  <si>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</si>
  <si>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</si>
  <si>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</si>
  <si>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</si>
  <si>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</si>
  <si>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</si>
  <si>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</si>
  <si>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</si>
  <si>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</si>
  <si>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</si>
  <si>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</si>
  <si>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</si>
  <si>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</si>
  <si>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</si>
  <si>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</si>
  <si>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</si>
  <si>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</si>
  <si>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</si>
  <si>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</si>
  <si>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</si>
  <si>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</si>
  <si>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</si>
  <si>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</si>
  <si>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</si>
  <si>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</si>
  <si>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</si>
  <si>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</si>
  <si>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</si>
  <si>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</si>
  <si>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</si>
  <si>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</si>
  <si>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</si>
  <si>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</si>
  <si>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</si>
  <si>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</si>
  <si>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</si>
  <si>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</si>
  <si>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</si>
  <si>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</si>
  <si>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</si>
  <si>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</si>
  <si>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</si>
  <si>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</si>
  <si>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</si>
  <si>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</si>
  <si>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</si>
  <si>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</si>
  <si>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</si>
  <si>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</si>
  <si>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</si>
  <si>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</si>
  <si>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</si>
  <si>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</si>
  <si>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</si>
  <si>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</si>
  <si>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</si>
  <si>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</si>
  <si>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</si>
  <si>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</si>
  <si>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</si>
  <si>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</si>
  <si>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</si>
  <si>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</si>
  <si>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</si>
  <si>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</si>
  <si>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</si>
  <si>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</si>
  <si>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</si>
  <si>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</si>
  <si>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</si>
  <si>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</si>
  <si>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</si>
  <si>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</si>
  <si>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</si>
  <si>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</si>
  <si>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</si>
  <si>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</si>
  <si>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</si>
  <si>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</si>
  <si>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</si>
  <si>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</si>
  <si>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</si>
  <si>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</si>
  <si>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</si>
  <si>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</si>
  <si>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</si>
  <si>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</si>
  <si>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</si>
  <si>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</si>
  <si>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</si>
  <si>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</si>
  <si>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</si>
  <si>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</si>
  <si>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</si>
  <si>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</si>
  <si>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</si>
  <si>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</si>
  <si>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</si>
  <si>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</si>
  <si>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</si>
  <si>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</si>
  <si>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</si>
  <si>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</si>
  <si>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</si>
  <si>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</si>
  <si>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</si>
  <si>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</si>
  <si>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</si>
  <si>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</si>
  <si>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</si>
  <si>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</si>
  <si>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</si>
  <si>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</si>
  <si>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</si>
  <si>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</si>
  <si>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</si>
  <si>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</si>
  <si>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</si>
  <si>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</si>
  <si>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</si>
  <si>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</si>
  <si>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</si>
  <si>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</si>
  <si>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</si>
  <si>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</si>
  <si>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</si>
  <si>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</si>
  <si>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</si>
  <si>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</si>
  <si>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</si>
  <si>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</si>
  <si>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</si>
  <si>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</si>
  <si>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</si>
  <si>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</si>
  <si>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</si>
  <si>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</si>
  <si>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</si>
  <si>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</si>
  <si>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</si>
  <si>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</si>
  <si>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</si>
  <si>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</si>
  <si>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</si>
  <si>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</si>
  <si>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</si>
  <si>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</si>
  <si>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</si>
  <si>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</si>
  <si>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</si>
  <si>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</si>
  <si>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</si>
  <si>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</si>
  <si>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</si>
  <si>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</si>
  <si>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</si>
  <si>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</si>
  <si>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</si>
  <si>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</si>
  <si>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</si>
  <si>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</si>
  <si>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</si>
  <si>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</si>
  <si>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</si>
  <si>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</si>
  <si>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</si>
  <si>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</si>
  <si>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</si>
  <si>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</si>
  <si>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</si>
  <si>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</si>
  <si>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</si>
  <si>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</si>
  <si>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</si>
  <si>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</si>
  <si>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</si>
  <si>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</si>
  <si>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</si>
  <si>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</si>
  <si>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</si>
  <si>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</si>
  <si>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</si>
  <si>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</si>
  <si>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</si>
  <si>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</si>
  <si>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</si>
  <si>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</si>
  <si>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</si>
  <si>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</si>
  <si>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</si>
  <si>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</si>
  <si>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</si>
  <si>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</si>
  <si>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</si>
  <si>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</si>
  <si>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</si>
  <si>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</si>
  <si>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</si>
  <si>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</si>
  <si>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</si>
  <si>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</si>
  <si>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</si>
  <si>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</si>
  <si>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</si>
  <si>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</si>
  <si>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</si>
  <si>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</si>
  <si>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</si>
  <si>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</si>
  <si>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</si>
  <si>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</si>
  <si>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</si>
  <si>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</si>
  <si>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</si>
  <si>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</si>
  <si>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</si>
  <si>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</si>
  <si>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</si>
  <si>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</si>
  <si>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</si>
  <si>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</si>
  <si>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</si>
  <si>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</si>
  <si>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</si>
  <si>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</si>
  <si>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</si>
  <si>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</si>
  <si>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</si>
  <si>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</si>
  <si>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</si>
  <si>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</si>
  <si>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</si>
  <si>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</si>
  <si>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</si>
  <si>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</si>
  <si>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</si>
  <si>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</si>
  <si>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</si>
  <si>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</si>
  <si>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</si>
  <si>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</si>
  <si>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</si>
  <si>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</si>
  <si>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</si>
  <si>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</si>
  <si>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</si>
  <si>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</si>
  <si>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</si>
  <si>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</si>
  <si>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</si>
  <si>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</si>
  <si>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</si>
  <si>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</si>
  <si>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</si>
  <si>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</si>
  <si>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</si>
  <si>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</si>
  <si>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</si>
  <si>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</si>
  <si>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</si>
  <si>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</si>
  <si>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</si>
  <si>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</si>
  <si>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</si>
  <si>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</si>
  <si>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</si>
  <si>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</si>
  <si>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</si>
  <si>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</si>
  <si>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</si>
  <si>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</si>
  <si>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</si>
  <si>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</si>
  <si>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</si>
  <si>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</si>
  <si>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</si>
  <si>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</si>
  <si>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</si>
  <si>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</si>
  <si>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</si>
  <si>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</si>
  <si>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</si>
  <si>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</si>
  <si>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</si>
  <si>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</si>
  <si>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</si>
  <si>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</si>
  <si>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</si>
  <si>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</si>
  <si>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</si>
  <si>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</si>
  <si>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</si>
  <si>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</si>
  <si>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</si>
  <si>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</si>
  <si>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</si>
  <si>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</si>
  <si>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</si>
  <si>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</si>
  <si>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</si>
  <si>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</si>
  <si>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</si>
  <si>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</si>
  <si>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</si>
  <si>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</si>
  <si>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</si>
  <si>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</si>
  <si>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</si>
  <si>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</si>
  <si>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</si>
  <si>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</si>
  <si>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</si>
  <si>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</si>
  <si>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</si>
  <si>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</si>
  <si>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</si>
  <si>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</si>
  <si>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</si>
  <si>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</si>
  <si>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</si>
  <si>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</si>
  <si>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</si>
  <si>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</si>
  <si>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</si>
  <si>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</si>
  <si>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</si>
  <si>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</si>
  <si>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</si>
  <si>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</si>
  <si>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</si>
  <si>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</si>
  <si>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</si>
  <si>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</si>
  <si>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</si>
  <si>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</si>
  <si>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</si>
  <si>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</si>
  <si>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</si>
  <si>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</si>
  <si>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</si>
  <si>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</si>
  <si>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</si>
  <si>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</si>
  <si>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</si>
  <si>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</si>
  <si>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</si>
  <si>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</si>
  <si>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</si>
  <si>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</si>
  <si>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</si>
  <si>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</si>
  <si>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</si>
  <si>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</si>
  <si>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</si>
  <si>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</si>
  <si>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</si>
  <si>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</si>
  <si>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</si>
  <si>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</si>
  <si>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</si>
  <si>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</si>
  <si>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</si>
  <si>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</si>
  <si>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</si>
  <si>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</si>
  <si>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</si>
  <si>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</si>
  <si>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</si>
  <si>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</si>
  <si>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</si>
  <si>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</si>
  <si>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</si>
  <si>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</si>
  <si>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</si>
  <si>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</si>
  <si>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</si>
  <si>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</si>
  <si>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</si>
  <si>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</si>
  <si>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</si>
  <si>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</si>
  <si>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</si>
  <si>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</si>
  <si>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</si>
  <si>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</si>
  <si>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</si>
  <si>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</si>
  <si>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</si>
  <si>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</si>
  <si>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</si>
  <si>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</si>
  <si>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</si>
  <si>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</si>
  <si>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</si>
  <si>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</si>
  <si>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</si>
  <si>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</si>
  <si>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</si>
  <si>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</si>
  <si>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</si>
  <si>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</si>
  <si>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</si>
  <si>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</si>
  <si>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</si>
  <si>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</si>
  <si>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</si>
  <si>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</si>
  <si>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</si>
  <si>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</si>
  <si>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</si>
  <si>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</si>
  <si>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</si>
  <si>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</si>
  <si>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</si>
  <si>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</si>
  <si>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</si>
  <si>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</si>
  <si>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</si>
  <si>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</si>
  <si>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</si>
  <si>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</si>
  <si>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</si>
  <si>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</si>
  <si>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</si>
  <si>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</si>
  <si>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</si>
  <si>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</si>
  <si>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</si>
  <si>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</si>
  <si>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</si>
  <si>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</si>
  <si>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</si>
  <si>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</si>
  <si>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</si>
  <si>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</si>
  <si>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</si>
  <si>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</si>
  <si>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</si>
  <si>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</si>
  <si>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</si>
  <si>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</si>
  <si>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</si>
  <si>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</si>
  <si>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</si>
  <si>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</si>
  <si>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</si>
  <si>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</si>
  <si>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</si>
  <si>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</si>
  <si>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</si>
  <si>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</si>
  <si>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</si>
  <si>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</si>
  <si>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</si>
  <si>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</si>
  <si>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</si>
  <si>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</si>
  <si>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</si>
  <si>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</si>
  <si>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</si>
  <si>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</si>
  <si>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</si>
  <si>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</si>
  <si>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</si>
  <si>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</si>
  <si>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</si>
  <si>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</si>
  <si>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</si>
  <si>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</si>
  <si>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</si>
  <si>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</si>
  <si>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</si>
  <si>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</si>
  <si>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</si>
  <si>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</si>
  <si>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</si>
  <si>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</si>
  <si>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</si>
  <si>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</si>
  <si>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</si>
  <si>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</si>
  <si>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</si>
  <si>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</si>
  <si>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</si>
  <si>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</si>
  <si>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</si>
  <si>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</si>
  <si>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</si>
  <si>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</si>
  <si>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</si>
  <si>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</si>
  <si>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</si>
  <si>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</si>
  <si>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</si>
  <si>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</si>
  <si>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</si>
  <si>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</si>
  <si>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</si>
  <si>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</si>
  <si>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</si>
  <si>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</si>
  <si>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</si>
  <si>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</si>
  <si>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</si>
  <si>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</si>
  <si>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</si>
  <si>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</si>
  <si>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</si>
  <si>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</si>
  <si>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</si>
  <si>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</si>
  <si>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</si>
  <si>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</si>
  <si>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</si>
  <si>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</si>
  <si>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</si>
  <si>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</si>
  <si>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</si>
  <si>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</si>
  <si>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</si>
  <si>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</si>
  <si>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</si>
  <si>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</si>
  <si>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</si>
  <si>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</si>
  <si>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</si>
  <si>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</si>
  <si>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</si>
  <si>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</si>
  <si>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</si>
  <si>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</si>
  <si>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</si>
  <si>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</si>
  <si>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</si>
  <si>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</si>
  <si>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</si>
  <si>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</si>
  <si>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</si>
  <si>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</si>
  <si>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</si>
  <si>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</si>
  <si>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</si>
  <si>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</si>
  <si>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</si>
  <si>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</si>
  <si>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</si>
  <si>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</si>
  <si>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</si>
  <si>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</si>
  <si>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</si>
  <si>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</si>
  <si>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</si>
  <si>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</si>
  <si>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</si>
  <si>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</si>
  <si>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</si>
  <si>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</si>
  <si>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</si>
  <si>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</si>
  <si>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</si>
  <si>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</si>
  <si>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</si>
  <si>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</si>
  <si>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</si>
  <si>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</si>
  <si>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</si>
  <si>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</si>
  <si>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</si>
  <si>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</si>
  <si>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</si>
  <si>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</si>
  <si>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</si>
  <si>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</si>
  <si>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</si>
  <si>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</si>
  <si>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</si>
  <si>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</si>
  <si>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</si>
  <si>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</si>
  <si>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</si>
  <si>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</si>
  <si>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</si>
  <si>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</si>
  <si>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</si>
  <si>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</si>
  <si>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</si>
  <si>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</si>
  <si>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</si>
  <si>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</si>
  <si>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</si>
  <si>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</si>
  <si>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</si>
  <si>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</si>
  <si>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</si>
  <si>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</si>
  <si>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</si>
  <si>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</si>
  <si>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</si>
  <si>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</si>
  <si>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</si>
  <si>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</si>
  <si>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</si>
  <si>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</si>
  <si>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</si>
  <si>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</si>
  <si>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</si>
  <si>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</si>
  <si>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</si>
  <si>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</si>
  <si>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</si>
  <si>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</si>
  <si>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</si>
  <si>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</si>
  <si>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</si>
  <si>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</si>
  <si>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</si>
  <si>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</si>
  <si>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</si>
  <si>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</si>
  <si>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</si>
  <si>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</si>
  <si>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</si>
  <si>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</si>
  <si>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</si>
  <si>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</si>
  <si>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</si>
  <si>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</si>
  <si>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</si>
  <si>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</si>
  <si>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</si>
  <si>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</si>
  <si>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</si>
  <si>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</si>
  <si>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</si>
  <si>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</si>
  <si>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</si>
  <si>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</si>
  <si>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</si>
  <si>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</si>
  <si>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</si>
  <si>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</si>
  <si>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</si>
  <si>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</si>
  <si>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</si>
  <si>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</si>
  <si>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</si>
  <si>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</si>
  <si>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</si>
  <si>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</si>
  <si>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</si>
  <si>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</si>
  <si>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</si>
  <si>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</si>
  <si>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</si>
  <si>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</si>
  <si>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</si>
  <si>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</si>
  <si>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</si>
  <si>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</si>
  <si>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</si>
  <si>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</si>
  <si>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</si>
  <si>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</si>
  <si>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</si>
  <si>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</si>
  <si>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</si>
  <si>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</si>
  <si>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</si>
  <si>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</si>
  <si>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</si>
  <si>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</si>
  <si>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</si>
  <si>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</si>
  <si>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</si>
  <si>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</si>
  <si>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</si>
  <si>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</si>
  <si>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</si>
  <si>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</si>
  <si>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</si>
  <si>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</si>
  <si>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</si>
  <si>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</si>
  <si>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</si>
  <si>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</si>
  <si>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</si>
  <si>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</si>
  <si>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</si>
  <si>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</si>
  <si>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</si>
  <si>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</si>
  <si>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</si>
  <si>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</si>
  <si>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</si>
  <si>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</si>
  <si>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</si>
  <si>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</si>
  <si>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</si>
  <si>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</si>
  <si>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</si>
  <si>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</si>
  <si>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</si>
  <si>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</si>
  <si>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</si>
  <si>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</si>
  <si>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</si>
  <si>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</si>
  <si>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</si>
  <si>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</si>
  <si>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</si>
  <si>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</si>
  <si>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</si>
  <si>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</si>
  <si>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</si>
  <si>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</si>
  <si>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</si>
  <si>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</si>
  <si>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</si>
  <si>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</si>
  <si>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</si>
  <si>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</si>
  <si>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</si>
  <si>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</si>
  <si>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</si>
  <si>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</si>
  <si>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</si>
  <si>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</si>
  <si>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</si>
  <si>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</si>
  <si>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</si>
  <si>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</si>
  <si>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</si>
  <si>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</si>
  <si>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</si>
  <si>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</si>
  <si>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</si>
  <si>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</si>
  <si>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</si>
  <si>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</si>
  <si>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</si>
  <si>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</si>
  <si>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</si>
  <si>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</si>
  <si>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</si>
  <si>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</si>
  <si>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</si>
  <si>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</si>
  <si>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</si>
  <si>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</si>
  <si>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</si>
  <si>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</si>
  <si>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</si>
  <si>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</si>
  <si>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</si>
  <si>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</si>
  <si>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</si>
  <si>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</si>
  <si>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</si>
  <si>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</si>
  <si>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</si>
  <si>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</si>
  <si>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</si>
  <si>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</si>
  <si>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</si>
  <si>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</si>
  <si>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</si>
  <si>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</si>
  <si>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</si>
  <si>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</si>
  <si>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</si>
  <si>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</si>
  <si>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</si>
  <si>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</si>
  <si>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</si>
  <si>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</si>
  <si>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</si>
  <si>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</si>
  <si>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</si>
  <si>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</si>
  <si>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</si>
  <si>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</si>
  <si>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</si>
  <si>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</si>
  <si>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</si>
  <si>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</si>
  <si>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</si>
  <si>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</si>
  <si>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</si>
  <si>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</si>
  <si>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</si>
  <si>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</si>
  <si>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</si>
  <si>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</si>
  <si>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</si>
  <si>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</si>
  <si>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</si>
  <si>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</si>
  <si>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</si>
  <si>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</si>
  <si>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</si>
  <si>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</si>
  <si>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</si>
  <si>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</si>
  <si>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</si>
  <si>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</si>
  <si>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</si>
  <si>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</si>
  <si>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</si>
  <si>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</si>
  <si>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</si>
  <si>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</si>
  <si>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</si>
  <si>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</si>
  <si>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</si>
  <si>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</si>
  <si>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</si>
  <si>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</si>
  <si>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</si>
  <si>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</si>
  <si>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</si>
  <si>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</si>
  <si>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</si>
  <si>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</si>
  <si>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</si>
  <si>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</si>
  <si>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</si>
  <si>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</si>
  <si>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</si>
  <si>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</si>
  <si>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</si>
  <si>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</si>
  <si>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</si>
  <si>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</si>
  <si>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</si>
  <si>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</si>
  <si>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</si>
  <si>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</si>
  <si>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</si>
  <si>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</si>
  <si>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</si>
  <si>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</si>
  <si>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</si>
  <si>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</si>
  <si>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</si>
  <si>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</si>
  <si>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</si>
  <si>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</si>
  <si>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</si>
  <si>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</si>
  <si>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</si>
  <si>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</si>
  <si>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</si>
  <si>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</si>
  <si>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</si>
  <si>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</si>
  <si>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</si>
  <si>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</si>
  <si>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</si>
  <si>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</si>
  <si>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</si>
  <si>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</si>
  <si>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</si>
  <si>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</si>
  <si>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</si>
  <si>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</si>
  <si>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</si>
  <si>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</si>
  <si>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</si>
  <si>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</si>
  <si>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</si>
  <si>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</si>
  <si>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</si>
  <si>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</si>
  <si>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</si>
  <si>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</si>
  <si>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</si>
  <si>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</si>
  <si>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</si>
  <si>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</si>
  <si>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</si>
  <si>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</si>
  <si>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</si>
  <si>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</si>
  <si>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</si>
  <si>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</si>
  <si>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</si>
  <si>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</si>
  <si>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</si>
  <si>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</si>
  <si>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</si>
  <si>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</si>
  <si>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</si>
  <si>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</si>
  <si>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</si>
  <si>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</si>
  <si>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</si>
  <si>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</si>
  <si>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</si>
  <si>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</si>
  <si>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</si>
  <si>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</si>
  <si>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</si>
  <si>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</si>
  <si>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</si>
  <si>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</si>
  <si>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</si>
  <si>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</si>
  <si>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</si>
  <si>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</si>
  <si>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</si>
  <si>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</si>
  <si>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</si>
  <si>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</si>
  <si>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</si>
  <si>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</si>
  <si>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</si>
  <si>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</si>
  <si>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</si>
  <si>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</si>
  <si>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</si>
  <si>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</si>
  <si>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</si>
  <si>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</si>
  <si>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</si>
  <si>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</si>
  <si>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</si>
  <si>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</si>
  <si>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</si>
  <si>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</si>
  <si>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</si>
  <si>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</si>
  <si>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</si>
  <si>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</si>
  <si>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</si>
  <si>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</si>
  <si>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</si>
  <si>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</si>
  <si>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</si>
  <si>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</si>
  <si>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</si>
  <si>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</si>
  <si>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</si>
  <si>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</si>
  <si>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</si>
  <si>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</si>
  <si>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</si>
  <si>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</si>
  <si>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</si>
  <si>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</si>
  <si>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</si>
  <si>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</si>
  <si>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</si>
  <si>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</si>
  <si>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</si>
  <si>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</si>
  <si>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</si>
  <si>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</si>
  <si>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</si>
  <si>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</si>
  <si>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</si>
  <si>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</si>
  <si>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</si>
  <si>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</si>
  <si>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</si>
  <si>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</si>
  <si>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</si>
  <si>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</si>
  <si>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</si>
  <si>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</si>
  <si>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</si>
  <si>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</si>
  <si>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</si>
  <si>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</si>
  <si>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</si>
  <si>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</si>
  <si>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</si>
  <si>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</si>
  <si>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</si>
  <si>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</si>
  <si>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</si>
  <si>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</si>
  <si>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</si>
  <si>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</si>
  <si>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</si>
  <si>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</si>
  <si>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</si>
  <si>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</si>
  <si>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</si>
  <si>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</si>
  <si>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</si>
  <si>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</si>
  <si>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</si>
  <si>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</si>
  <si>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</si>
  <si>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</si>
  <si>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</si>
  <si>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</si>
  <si>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</si>
  <si>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</si>
  <si>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</si>
  <si>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</si>
  <si>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</si>
  <si>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</si>
  <si>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</si>
  <si>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</si>
  <si>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</si>
  <si>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</si>
  <si>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</si>
  <si>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</si>
  <si>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</si>
  <si>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</si>
  <si>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</si>
  <si>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</si>
  <si>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</si>
  <si>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</si>
  <si>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</si>
  <si>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</si>
  <si>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</si>
  <si>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</si>
  <si>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</si>
  <si>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</si>
  <si>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</si>
  <si>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</si>
  <si>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</si>
  <si>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</si>
  <si>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</si>
  <si>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</si>
  <si>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</si>
  <si>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</si>
  <si>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</si>
  <si>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</si>
  <si>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</si>
  <si>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</si>
  <si>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</si>
  <si>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</si>
  <si>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</si>
  <si>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</si>
  <si>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</si>
  <si>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</si>
  <si>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</si>
  <si>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</si>
  <si>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</si>
  <si>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</si>
  <si>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</si>
  <si>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</si>
  <si>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</si>
  <si>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</si>
  <si>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</si>
  <si>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</si>
  <si>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</si>
  <si>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</si>
  <si>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</si>
  <si>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</si>
  <si>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</si>
  <si>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</si>
  <si>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</si>
  <si>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</si>
  <si>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</si>
  <si>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</si>
  <si>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</si>
  <si>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</si>
  <si>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</si>
  <si>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</si>
  <si>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</si>
  <si>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</si>
  <si>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</si>
  <si>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</si>
  <si>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</si>
  <si>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</si>
  <si>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</si>
  <si>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</si>
  <si>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</si>
  <si>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</si>
  <si>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</si>
  <si>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</si>
  <si>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</si>
  <si>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</si>
  <si>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</si>
  <si>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</si>
  <si>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</si>
  <si>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</si>
  <si>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</si>
  <si>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</si>
  <si>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</si>
  <si>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</si>
  <si>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</si>
  <si>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</si>
  <si>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</si>
  <si>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</si>
  <si>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</si>
  <si>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</si>
  <si>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</si>
  <si>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</si>
  <si>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</si>
  <si>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</si>
  <si>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</si>
  <si>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</si>
  <si>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</si>
  <si>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</si>
  <si>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</si>
  <si>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</si>
  <si>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</si>
  <si>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</si>
  <si>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</si>
  <si>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</si>
  <si>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</si>
  <si>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</si>
  <si>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</si>
  <si>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</si>
  <si>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</si>
  <si>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</si>
  <si>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</si>
  <si>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</si>
  <si>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</si>
  <si>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</si>
  <si>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</si>
  <si>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</si>
  <si>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</si>
  <si>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</si>
  <si>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</si>
  <si>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</si>
  <si>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</si>
  <si>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</si>
  <si>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</si>
  <si>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</si>
  <si>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</si>
  <si>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</si>
  <si>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</si>
  <si>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</si>
  <si>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</si>
  <si>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</si>
  <si>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</si>
  <si>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</si>
  <si>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</si>
  <si>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</si>
  <si>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</si>
  <si>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</si>
  <si>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</si>
  <si>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</si>
  <si>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</si>
  <si>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</si>
  <si>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</si>
  <si>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</si>
  <si>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</si>
  <si>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</si>
  <si>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</si>
  <si>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</si>
  <si>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</si>
  <si>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</si>
  <si>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</si>
  <si>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</si>
  <si>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</si>
  <si>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</si>
  <si>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</si>
  <si>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</si>
  <si>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</si>
  <si>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</si>
  <si>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</si>
  <si>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</si>
  <si>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</si>
  <si>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</si>
  <si>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</si>
  <si>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</si>
  <si>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</si>
  <si>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</si>
  <si>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</si>
  <si>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</si>
  <si>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</si>
  <si>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</si>
  <si>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</si>
  <si>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</si>
  <si>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</si>
  <si>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</si>
  <si>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</si>
  <si>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</si>
  <si>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</si>
  <si>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</si>
  <si>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</si>
  <si>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</si>
  <si>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</si>
  <si>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</si>
  <si>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</si>
  <si>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</si>
  <si>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</si>
  <si>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</si>
  <si>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</si>
  <si>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</si>
  <si>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</si>
  <si>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</si>
  <si>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</si>
  <si>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</si>
  <si>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</si>
  <si>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</si>
  <si>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</si>
  <si>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</si>
  <si>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</si>
  <si>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</si>
  <si>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</si>
  <si>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</si>
  <si>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</si>
  <si>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</si>
  <si>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</si>
  <si>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</si>
  <si>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</si>
  <si>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</si>
  <si>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</si>
  <si>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</si>
  <si>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</si>
  <si>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</si>
  <si>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</si>
  <si>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</si>
  <si>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</si>
  <si>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</si>
  <si>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</si>
  <si>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</si>
  <si>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</si>
  <si>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</si>
  <si>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</si>
  <si>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</si>
  <si>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</si>
  <si>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</si>
  <si>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</si>
  <si>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</si>
  <si>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</si>
  <si>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</si>
  <si>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</si>
  <si>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</si>
  <si>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</si>
  <si>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</si>
  <si>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</si>
  <si>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</si>
  <si>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</si>
  <si>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</si>
  <si>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</si>
  <si>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</si>
  <si>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</si>
  <si>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</si>
  <si>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</si>
  <si>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</si>
  <si>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</si>
  <si>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</si>
  <si>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</si>
  <si>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</si>
  <si>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</si>
  <si>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</si>
  <si>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</si>
  <si>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</si>
  <si>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</si>
  <si>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</si>
  <si>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</si>
  <si>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</si>
  <si>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</si>
  <si>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</si>
  <si>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</si>
  <si>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</si>
  <si>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</si>
  <si>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</si>
  <si>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</si>
  <si>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</si>
  <si>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</si>
  <si>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</si>
  <si>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</si>
  <si>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</si>
  <si>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</si>
  <si>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</si>
  <si>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</si>
  <si>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</si>
  <si>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</si>
  <si>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</si>
  <si>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</si>
  <si>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</si>
  <si>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</si>
  <si>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</si>
  <si>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</si>
  <si>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</si>
  <si>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</si>
  <si>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</si>
  <si>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</si>
  <si>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</si>
  <si>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</si>
  <si>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</si>
  <si>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</si>
  <si>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</si>
  <si>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</si>
  <si>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</si>
  <si>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</si>
  <si>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</si>
  <si>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</si>
  <si>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</si>
  <si>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</si>
  <si>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</si>
  <si>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</si>
  <si>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</si>
  <si>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</si>
  <si>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</si>
  <si>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</si>
  <si>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</si>
  <si>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</si>
  <si>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</si>
  <si>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</si>
  <si>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</si>
  <si>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</si>
  <si>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</si>
  <si>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</si>
  <si>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</si>
  <si>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</si>
  <si>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</si>
  <si>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</si>
  <si>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</si>
  <si>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</si>
  <si>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</si>
  <si>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</si>
  <si>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</si>
  <si>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</si>
  <si>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</si>
  <si>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</si>
  <si>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</si>
  <si>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</si>
  <si>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</si>
  <si>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</si>
  <si>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</si>
  <si>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</si>
  <si>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</si>
  <si>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</si>
  <si>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</si>
  <si>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</si>
  <si>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</si>
  <si>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</si>
  <si>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</si>
  <si>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</si>
  <si>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</si>
  <si>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</si>
  <si>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</si>
  <si>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</si>
  <si>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</si>
  <si>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</si>
  <si>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</si>
  <si>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</si>
  <si>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</si>
  <si>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</si>
  <si>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</si>
  <si>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</si>
  <si>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</si>
  <si>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</si>
  <si>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</si>
  <si>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</si>
  <si>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</si>
  <si>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</si>
  <si>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</si>
  <si>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</si>
  <si>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</si>
  <si>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</si>
  <si>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</si>
  <si>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</si>
  <si>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</si>
  <si>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</si>
  <si>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</si>
  <si>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</si>
  <si>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</si>
  <si>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</si>
  <si>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</si>
  <si>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</si>
  <si>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</si>
  <si>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</si>
  <si>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</si>
  <si>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</si>
  <si>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</si>
  <si>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</si>
  <si>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</si>
  <si>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</si>
  <si>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</si>
  <si>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</si>
  <si>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</si>
  <si>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</si>
  <si>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</si>
  <si>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</si>
  <si>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</si>
  <si>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</si>
  <si>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</si>
  <si>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</si>
  <si>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</si>
  <si>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</si>
  <si>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</si>
  <si>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</si>
  <si>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</si>
  <si>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</si>
  <si>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</si>
  <si>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</si>
  <si>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</si>
  <si>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</si>
  <si>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</si>
  <si>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</si>
  <si>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</si>
  <si>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</si>
  <si>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</si>
  <si>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</si>
  <si>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</si>
  <si>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</si>
  <si>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</si>
  <si>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</si>
  <si>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</si>
  <si>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</si>
  <si>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</si>
  <si>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</si>
  <si>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</si>
  <si>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</si>
  <si>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</si>
  <si>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</si>
  <si>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</si>
  <si>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</si>
  <si>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</si>
  <si>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</si>
  <si>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</si>
  <si>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</si>
  <si>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</si>
  <si>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</si>
  <si>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</si>
  <si>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</si>
  <si>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</si>
  <si>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</si>
  <si>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</si>
  <si>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</si>
  <si>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</si>
  <si>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</si>
  <si>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</si>
  <si>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</si>
  <si>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</si>
  <si>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</si>
  <si>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</si>
  <si>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</si>
  <si>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</si>
  <si>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</si>
  <si>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</si>
  <si>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</si>
  <si>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</si>
  <si>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</si>
  <si>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</si>
  <si>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</si>
  <si>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</si>
  <si>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</si>
  <si>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</si>
  <si>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</si>
  <si>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</si>
  <si>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</si>
  <si>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</si>
  <si>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</si>
  <si>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</si>
  <si>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</si>
  <si>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</si>
  <si>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</si>
  <si>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</si>
  <si>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</si>
  <si>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</si>
  <si>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</si>
  <si>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</si>
  <si>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</si>
  <si>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</si>
  <si>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</si>
  <si>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</si>
  <si>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</si>
  <si>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</si>
  <si>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</si>
  <si>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</si>
  <si>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</si>
  <si>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</si>
  <si>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</si>
  <si>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</si>
  <si>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</si>
  <si>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</si>
  <si>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</si>
  <si>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</si>
  <si>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</si>
  <si>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</si>
  <si>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</si>
  <si>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</si>
  <si>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</si>
  <si>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</si>
  <si>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</si>
  <si>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</si>
  <si>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</si>
  <si>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</si>
  <si>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</si>
  <si>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</si>
  <si>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</si>
  <si>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</si>
  <si>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</si>
  <si>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</si>
  <si>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</si>
  <si>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</si>
  <si>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</si>
  <si>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</si>
  <si>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</si>
  <si>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</si>
  <si>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</si>
  <si>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</si>
  <si>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</si>
  <si>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</si>
  <si>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</si>
  <si>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</si>
  <si>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</si>
  <si>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</si>
  <si>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</si>
  <si>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</si>
  <si>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</si>
  <si>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</si>
  <si>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</si>
  <si>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</si>
  <si>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</si>
  <si>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</si>
  <si>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</si>
  <si>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</si>
  <si>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</si>
  <si>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</si>
  <si>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</si>
  <si>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</si>
  <si>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</si>
  <si>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</si>
  <si>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</si>
  <si>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</si>
  <si>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</si>
  <si>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</si>
  <si>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</si>
  <si>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</si>
  <si>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</si>
  <si>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</si>
  <si>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</si>
  <si>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</si>
  <si>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</si>
  <si>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</si>
  <si>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</si>
  <si>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</si>
  <si>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</si>
  <si>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</si>
  <si>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</si>
  <si>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</si>
  <si>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</si>
  <si>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</si>
  <si>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</si>
  <si>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</si>
  <si>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</si>
  <si>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</si>
  <si>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</si>
  <si>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</si>
  <si>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</si>
  <si>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</si>
  <si>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</si>
  <si>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</si>
  <si>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</si>
  <si>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</si>
  <si>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</si>
  <si>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</si>
  <si>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</si>
  <si>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</si>
  <si>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</si>
  <si>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</si>
  <si>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</si>
  <si>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</si>
  <si>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</si>
  <si>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</si>
  <si>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</si>
  <si>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</si>
  <si>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</si>
  <si>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</si>
  <si>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</si>
  <si>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</si>
  <si>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</si>
  <si>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</si>
  <si>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</si>
  <si>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</si>
  <si>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</si>
  <si>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</si>
  <si>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</si>
  <si>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</si>
  <si>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</si>
  <si>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</si>
  <si>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</si>
  <si>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</si>
  <si>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</si>
  <si>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</si>
  <si>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</si>
  <si>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</si>
  <si>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</si>
  <si>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</si>
  <si>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</si>
  <si>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</si>
  <si>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</si>
  <si>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</si>
  <si>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</si>
  <si>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</si>
  <si>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</si>
  <si>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</si>
  <si>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</si>
  <si>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</si>
  <si>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</si>
  <si>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</si>
  <si>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</si>
  <si>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</si>
  <si>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</si>
  <si>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</si>
  <si>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</si>
  <si>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</si>
  <si>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</si>
  <si>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</si>
  <si>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</si>
  <si>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</si>
  <si>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</si>
  <si>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</si>
  <si>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</si>
  <si>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</si>
  <si>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</si>
  <si>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</si>
  <si>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</si>
  <si>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</si>
  <si>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</si>
  <si>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</si>
  <si>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</si>
  <si>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</si>
  <si>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</si>
  <si>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</si>
  <si>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</si>
  <si>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</si>
  <si>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</si>
  <si>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</si>
  <si>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</si>
  <si>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</si>
  <si>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</si>
  <si>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</si>
  <si>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</si>
  <si>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</si>
  <si>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</si>
  <si>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</si>
  <si>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</si>
  <si>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</si>
  <si>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</si>
  <si>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</si>
  <si>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</si>
  <si>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</si>
  <si>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</si>
  <si>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</si>
  <si>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</si>
  <si>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</si>
  <si>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</si>
  <si>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</si>
  <si>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</si>
  <si>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</si>
  <si>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</si>
  <si>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</si>
  <si>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</si>
  <si>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</si>
  <si>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</si>
  <si>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</si>
  <si>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</si>
  <si>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</si>
  <si>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</si>
  <si>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</si>
  <si>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</si>
  <si>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</si>
  <si>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</si>
  <si>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</si>
  <si>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</si>
  <si>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</si>
  <si>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</si>
  <si>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</si>
  <si>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</si>
  <si>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</si>
  <si>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</si>
  <si>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</si>
  <si>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</si>
  <si>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</si>
  <si>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</si>
  <si>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</si>
  <si>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</si>
  <si>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</si>
  <si>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</si>
  <si>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</si>
  <si>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</si>
  <si>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</si>
  <si>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</si>
  <si>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</si>
  <si>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</si>
  <si>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</si>
  <si>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</si>
  <si>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</si>
  <si>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</si>
  <si>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</si>
  <si>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</si>
  <si>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</si>
  <si>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</si>
  <si>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</si>
  <si>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</si>
  <si>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</si>
  <si>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</si>
  <si>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</si>
  <si>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</si>
  <si>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</si>
  <si>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</si>
  <si>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</si>
  <si>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</si>
  <si>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</si>
  <si>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</si>
  <si>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</si>
  <si>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</si>
  <si>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</si>
  <si>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</si>
  <si>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</si>
  <si>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</si>
  <si>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</si>
  <si>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</si>
  <si>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</si>
  <si>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</si>
  <si>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</si>
  <si>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</si>
  <si>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</si>
  <si>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</si>
  <si>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</si>
  <si>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</si>
  <si>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</si>
  <si>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</si>
  <si>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</si>
  <si>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</si>
  <si>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</si>
  <si>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</si>
  <si>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</si>
  <si>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</si>
  <si>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</si>
  <si>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</si>
  <si>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</si>
  <si>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</si>
  <si>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</si>
  <si>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</si>
  <si>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</si>
  <si>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</si>
  <si>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</si>
  <si>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</si>
  <si>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</si>
  <si>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</si>
  <si>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</si>
  <si>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</si>
  <si>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</si>
  <si>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</si>
  <si>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</si>
  <si>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</si>
  <si>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</si>
  <si>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</si>
  <si>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</si>
  <si>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</si>
  <si>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</si>
  <si>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</si>
  <si>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</si>
  <si>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</si>
  <si>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</si>
  <si>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</si>
  <si>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</si>
  <si>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</si>
  <si>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</si>
  <si>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</si>
  <si>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</si>
  <si>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</si>
  <si>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</si>
  <si>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</si>
  <si>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</si>
  <si>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</si>
  <si>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</si>
  <si>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</si>
  <si>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</si>
  <si>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</si>
  <si>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</si>
  <si>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</si>
  <si>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</si>
  <si>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</si>
  <si>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</si>
  <si>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</si>
  <si>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</si>
  <si>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</si>
  <si>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</si>
  <si>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</si>
  <si>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</si>
  <si>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</si>
  <si>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</si>
  <si>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</si>
  <si>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</si>
  <si>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</si>
  <si>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</si>
  <si>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</si>
  <si>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</si>
  <si>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</si>
  <si>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</si>
  <si>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</si>
  <si>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</si>
  <si>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</si>
  <si>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</si>
  <si>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</si>
  <si>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</si>
  <si>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</si>
  <si>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</si>
  <si>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</si>
  <si>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</si>
  <si>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</si>
  <si>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</si>
  <si>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</si>
  <si>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</si>
  <si>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</si>
  <si>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</si>
  <si>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</si>
  <si>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</si>
  <si>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</si>
  <si>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</si>
  <si>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</si>
  <si>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</si>
  <si>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</si>
  <si>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</si>
  <si>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</si>
  <si>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</si>
  <si>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</si>
  <si>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</si>
  <si>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</si>
  <si>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</si>
  <si>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</si>
  <si>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</si>
  <si>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</si>
  <si>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</si>
  <si>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</si>
  <si>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</si>
  <si>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</si>
  <si>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</si>
  <si>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</si>
  <si>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</si>
  <si>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</si>
  <si>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</si>
  <si>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</si>
  <si>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</si>
  <si>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</si>
  <si>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</si>
  <si>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</si>
  <si>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</si>
  <si>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</si>
  <si>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</si>
  <si>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</si>
  <si>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</si>
  <si>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</si>
  <si>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</si>
  <si>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</si>
  <si>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</si>
  <si>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</si>
  <si>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</si>
  <si>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</si>
  <si>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</si>
  <si>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</si>
  <si>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</si>
  <si>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</si>
  <si>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</si>
  <si>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</si>
  <si>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</si>
  <si>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</si>
  <si>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</si>
  <si>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</si>
  <si>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</si>
  <si>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</si>
  <si>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</si>
  <si>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</si>
  <si>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</si>
  <si>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</si>
  <si>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</si>
  <si>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</si>
  <si>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</si>
  <si>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</si>
  <si>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</si>
  <si>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</si>
  <si>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</si>
  <si>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</si>
  <si>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</si>
  <si>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</si>
  <si>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</si>
  <si>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</si>
  <si>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</si>
  <si>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</si>
  <si>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</si>
  <si>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</si>
  <si>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</si>
  <si>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</si>
  <si>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</si>
  <si>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</si>
  <si>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</si>
  <si>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</si>
  <si>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</si>
  <si>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</si>
  <si>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</si>
  <si>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</si>
  <si>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</si>
  <si>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</si>
  <si>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</si>
  <si>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</si>
  <si>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</si>
  <si>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</si>
  <si>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</si>
  <si>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</si>
  <si>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</si>
  <si>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</si>
  <si>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</si>
  <si>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</si>
  <si>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</si>
  <si>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</si>
  <si>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</si>
  <si>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</si>
  <si>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</si>
  <si>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</si>
  <si>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</si>
  <si>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</si>
  <si>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</si>
  <si>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</si>
  <si>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</si>
  <si>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</si>
  <si>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</si>
  <si>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</si>
  <si>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</si>
  <si>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</si>
  <si>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</si>
  <si>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</si>
  <si>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</si>
  <si>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</si>
  <si>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</si>
  <si>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</si>
  <si>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</si>
  <si>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</si>
  <si>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</si>
  <si>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</si>
  <si>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</si>
  <si>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</si>
  <si>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</si>
  <si>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</si>
  <si>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</si>
  <si>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</si>
  <si>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</si>
  <si>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</si>
  <si>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</si>
  <si>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</si>
  <si>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</si>
  <si>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</si>
  <si>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</si>
  <si>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</si>
  <si>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</si>
  <si>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</si>
  <si>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</si>
  <si>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</si>
  <si>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</si>
  <si>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</si>
  <si>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</si>
  <si>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</si>
  <si>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</si>
  <si>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</si>
  <si>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</si>
  <si>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</si>
  <si>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</si>
  <si>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</si>
  <si>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</si>
  <si>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</si>
  <si>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</si>
  <si>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</si>
  <si>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</si>
  <si>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</si>
  <si>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</si>
  <si>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</si>
  <si>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</si>
  <si>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</si>
  <si>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</si>
  <si>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</si>
  <si>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</si>
  <si>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</si>
  <si>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</si>
  <si>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</si>
  <si>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</si>
  <si>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</si>
  <si>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</si>
  <si>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</si>
  <si>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</si>
  <si>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</si>
  <si>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</si>
  <si>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</si>
  <si>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</si>
  <si>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</si>
  <si>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</si>
  <si>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</si>
  <si>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</si>
  <si>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</si>
  <si>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</si>
  <si>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</si>
  <si>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</si>
  <si>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</si>
  <si>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</si>
  <si>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</si>
  <si>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</si>
  <si>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</si>
  <si>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</si>
  <si>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</si>
  <si>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</si>
  <si>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</si>
  <si>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</si>
  <si>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</si>
  <si>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</si>
  <si>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</si>
  <si>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</si>
  <si>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</si>
  <si>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</si>
  <si>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</si>
  <si>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</si>
  <si>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</si>
  <si>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</si>
  <si>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</si>
  <si>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</si>
  <si>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</si>
  <si>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</si>
  <si>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</si>
  <si>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</si>
  <si>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</si>
  <si>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</si>
  <si>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</si>
  <si>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</si>
  <si>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</si>
  <si>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</si>
  <si>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</si>
  <si>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</si>
  <si>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</si>
  <si>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</si>
  <si>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</si>
  <si>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</si>
  <si>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</si>
  <si>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</si>
  <si>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</si>
  <si>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</si>
  <si>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</si>
  <si>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</si>
  <si>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</si>
  <si>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</si>
  <si>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</si>
  <si>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</si>
  <si>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</si>
  <si>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</si>
  <si>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</si>
  <si>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</si>
  <si>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</si>
  <si>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</si>
  <si>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</si>
  <si>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</si>
  <si>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</si>
  <si>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</si>
  <si>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</si>
  <si>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</si>
  <si>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</si>
  <si>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</si>
  <si>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</si>
  <si>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</si>
  <si>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</si>
  <si>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</si>
  <si>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</si>
  <si>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</si>
  <si>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</si>
  <si>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</si>
  <si>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</si>
  <si>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</si>
  <si>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</si>
  <si>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</si>
  <si>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</si>
  <si>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</si>
  <si>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</si>
  <si>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</si>
  <si>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</si>
  <si>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</si>
  <si>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</si>
  <si>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</si>
  <si>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</si>
  <si>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</si>
  <si>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</si>
  <si>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</si>
  <si>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</si>
  <si>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</si>
  <si>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</si>
  <si>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</si>
  <si>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</si>
  <si>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</si>
  <si>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</si>
  <si>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</si>
  <si>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</si>
  <si>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</si>
  <si>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</si>
  <si>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</si>
  <si>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</si>
  <si>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</si>
  <si>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</si>
  <si>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</si>
  <si>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</si>
  <si>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</si>
  <si>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</si>
  <si>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</si>
  <si>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</si>
  <si>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</si>
  <si>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</si>
  <si>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</si>
  <si>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</si>
  <si>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</si>
  <si>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</si>
  <si>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</si>
  <si>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</si>
  <si>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</si>
  <si>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</si>
  <si>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</si>
  <si>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</si>
  <si>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</si>
  <si>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</si>
  <si>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</si>
  <si>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</si>
  <si>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</si>
  <si>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</si>
  <si>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</si>
  <si>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</si>
  <si>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</si>
  <si>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</si>
  <si>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</si>
  <si>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</si>
  <si>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</si>
  <si>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</si>
  <si>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</si>
  <si>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</si>
  <si>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</si>
  <si>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</si>
  <si>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</si>
  <si>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</si>
  <si>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</si>
  <si>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</si>
  <si>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</si>
  <si>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</si>
  <si>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</si>
  <si>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</si>
  <si>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</si>
  <si>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</si>
  <si>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</si>
  <si>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</si>
  <si>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</si>
  <si>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</si>
  <si>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</si>
  <si>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</si>
  <si>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</si>
  <si>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</si>
  <si>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</si>
  <si>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</si>
  <si>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</si>
  <si>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</si>
  <si>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</si>
  <si>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</si>
  <si>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</si>
  <si>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</si>
  <si>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</si>
  <si>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</si>
  <si>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</si>
  <si>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</si>
  <si>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</si>
  <si>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</si>
  <si>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</si>
  <si>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</si>
  <si>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</si>
  <si>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</si>
  <si>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</si>
  <si>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</si>
  <si>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</si>
  <si>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</si>
  <si>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</si>
  <si>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</si>
  <si>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</si>
  <si>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</si>
  <si>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</si>
  <si>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</si>
  <si>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</si>
  <si>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</si>
  <si>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</si>
  <si>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</si>
  <si>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</si>
  <si>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</si>
  <si>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</si>
  <si>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</si>
  <si>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</si>
  <si>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</si>
  <si>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</si>
  <si>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</si>
  <si>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</si>
  <si>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</si>
  <si>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</si>
  <si>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</si>
  <si>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</si>
  <si>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</si>
  <si>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</si>
  <si>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</si>
  <si>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</si>
  <si>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</si>
  <si>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</si>
  <si>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</si>
  <si>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</si>
  <si>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</si>
  <si>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</si>
  <si>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</si>
  <si>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</si>
  <si>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</si>
  <si>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</si>
  <si>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</si>
  <si>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</si>
  <si>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</si>
  <si>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</si>
  <si>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</si>
  <si>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</si>
  <si>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</si>
  <si>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</si>
  <si>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</si>
  <si>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</si>
  <si>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</si>
  <si>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</si>
  <si>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</si>
  <si>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</si>
  <si>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</si>
  <si>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</si>
  <si>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</si>
  <si>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</si>
  <si>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</si>
  <si>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</si>
  <si>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</si>
  <si>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</si>
  <si>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</si>
  <si>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</si>
  <si>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</si>
  <si>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</si>
  <si>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</si>
  <si>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</si>
  <si>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</si>
  <si>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</si>
  <si>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</si>
  <si>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</si>
  <si>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</si>
  <si>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</si>
  <si>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</si>
  <si>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</si>
  <si>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</si>
  <si>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</si>
  <si>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</si>
  <si>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</si>
  <si>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</si>
  <si>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</si>
  <si>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</si>
  <si>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</si>
  <si>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</si>
  <si>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</si>
  <si>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</si>
  <si>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</si>
  <si>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</si>
  <si>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</si>
  <si>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</si>
  <si>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</si>
  <si>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</si>
  <si>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</si>
  <si>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</si>
  <si>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</si>
  <si>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</si>
  <si>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</si>
  <si>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</si>
  <si>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</si>
  <si>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</si>
  <si>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</si>
  <si>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</si>
  <si>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</si>
  <si>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</si>
  <si>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</si>
  <si>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</si>
  <si>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</si>
  <si>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</si>
  <si>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</si>
  <si>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</si>
  <si>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</si>
  <si>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</si>
  <si>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</si>
  <si>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</si>
  <si>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</si>
  <si>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</si>
  <si>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</si>
  <si>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</si>
  <si>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</si>
  <si>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</si>
  <si>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</si>
  <si>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</si>
  <si>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</si>
  <si>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</si>
  <si>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</si>
  <si>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</si>
  <si>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</si>
  <si>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</si>
  <si>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</si>
  <si>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</si>
  <si>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</si>
  <si>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</si>
  <si>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</si>
  <si>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</si>
  <si>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</si>
  <si>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</si>
  <si>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</si>
  <si>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</si>
  <si>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</si>
  <si>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</si>
  <si>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</si>
  <si>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</si>
  <si>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</si>
  <si>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</si>
  <si>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</si>
  <si>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</si>
  <si>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</si>
  <si>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</si>
  <si>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</si>
  <si>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</si>
  <si>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</si>
  <si>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</si>
  <si>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</si>
  <si>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</si>
  <si>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</si>
  <si>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</si>
  <si>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</si>
  <si>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</si>
  <si>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</si>
  <si>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</si>
  <si>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</si>
  <si>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</si>
  <si>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</si>
  <si>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</si>
  <si>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</si>
  <si>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</si>
  <si>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</si>
  <si>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</si>
  <si>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</si>
  <si>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</si>
  <si>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</si>
  <si>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</si>
  <si>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</si>
  <si>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</si>
  <si>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</si>
  <si>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</si>
  <si>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</si>
  <si>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</si>
  <si>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</si>
  <si>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</si>
  <si>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</si>
  <si>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</si>
  <si>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</si>
  <si>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</si>
  <si>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</si>
  <si>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</si>
  <si>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</si>
  <si>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</si>
  <si>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</si>
  <si>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</si>
  <si>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</si>
  <si>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</si>
  <si>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</si>
  <si>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</si>
  <si>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</si>
  <si>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</si>
  <si>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</si>
  <si>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</si>
  <si>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</si>
  <si>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</si>
  <si>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</si>
  <si>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</si>
  <si>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</si>
  <si>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</si>
  <si>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</si>
  <si>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</si>
  <si>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</si>
  <si>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</si>
  <si>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</si>
  <si>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</si>
  <si>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</si>
  <si>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</si>
  <si>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</si>
  <si>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</si>
  <si>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</si>
  <si>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</si>
  <si>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</si>
  <si>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</si>
  <si>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</si>
  <si>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</si>
  <si>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</si>
  <si>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</si>
  <si>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</si>
  <si>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</si>
  <si>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</si>
  <si>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</si>
  <si>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</si>
  <si>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</si>
  <si>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</si>
  <si>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</si>
  <si>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</si>
  <si>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</si>
  <si>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</si>
  <si>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</si>
  <si>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</si>
  <si>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</si>
  <si>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</si>
  <si>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</si>
  <si>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</si>
  <si>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</si>
  <si>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</si>
  <si>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</si>
  <si>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</si>
  <si>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</si>
  <si>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</si>
  <si>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</si>
  <si>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</si>
  <si>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</si>
  <si>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</si>
  <si>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</si>
  <si>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</si>
  <si>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</si>
  <si>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</si>
  <si>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</si>
  <si>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</si>
  <si>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</si>
  <si>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</si>
  <si>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</si>
  <si>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</si>
  <si>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</si>
  <si>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</si>
  <si>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</si>
  <si>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</si>
  <si>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</si>
  <si>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</si>
  <si>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</si>
  <si>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</si>
  <si>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</si>
  <si>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</si>
  <si>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</si>
  <si>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</si>
  <si>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</si>
  <si>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</si>
  <si>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</si>
  <si>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</si>
  <si>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</si>
  <si>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</si>
  <si>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</si>
  <si>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</si>
  <si>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</si>
  <si>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</si>
  <si>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</si>
  <si>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</si>
  <si>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</si>
  <si>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</si>
  <si>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</si>
  <si>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</si>
  <si>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</si>
  <si>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</si>
  <si>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</si>
  <si>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</si>
  <si>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</si>
  <si>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</si>
  <si>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</si>
  <si>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</si>
  <si>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</si>
  <si>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</si>
  <si>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</si>
  <si>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</si>
  <si>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</si>
  <si>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</si>
  <si>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</si>
  <si>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</si>
  <si>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</si>
  <si>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</si>
  <si>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</si>
  <si>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</si>
  <si>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</si>
  <si>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</si>
  <si>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</si>
  <si>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</si>
  <si>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</si>
  <si>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</si>
  <si>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</si>
  <si>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</si>
  <si>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</si>
  <si>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</si>
  <si>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</si>
  <si>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</si>
  <si>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</si>
  <si>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</si>
  <si>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</si>
  <si>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</si>
  <si>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</si>
  <si>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</si>
  <si>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</si>
  <si>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</si>
  <si>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</si>
  <si>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</si>
  <si>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</si>
  <si>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</si>
  <si>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</si>
  <si>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</si>
  <si>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</si>
  <si>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</si>
  <si>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</si>
  <si>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</si>
  <si>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</si>
  <si>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</si>
  <si>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</si>
  <si>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</si>
  <si>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</si>
  <si>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</si>
  <si>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</si>
  <si>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</si>
  <si>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</si>
  <si>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</si>
  <si>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</si>
  <si>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</si>
  <si>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</si>
  <si>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</si>
  <si>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</si>
  <si>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</si>
  <si>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</si>
  <si>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</si>
  <si>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</si>
  <si>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</si>
  <si>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</si>
  <si>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</si>
  <si>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</si>
  <si>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</si>
  <si>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</si>
  <si>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</si>
  <si>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</si>
  <si>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</si>
  <si>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</si>
  <si>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</si>
  <si>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</si>
  <si>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</si>
  <si>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</si>
  <si>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</si>
  <si>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</si>
  <si>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</si>
  <si>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</si>
  <si>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</si>
  <si>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</si>
  <si>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</si>
  <si>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</si>
  <si>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</si>
  <si>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</si>
  <si>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</si>
  <si>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</si>
  <si>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</si>
  <si>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</si>
  <si>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</si>
  <si>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</si>
  <si>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</si>
  <si>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</si>
  <si>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</si>
  <si>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</si>
  <si>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</si>
  <si>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</si>
  <si>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</si>
  <si>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</si>
  <si>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</si>
  <si>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</si>
  <si>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</si>
  <si>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</si>
  <si>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</si>
  <si>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</si>
  <si>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</si>
  <si>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</si>
  <si>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</si>
  <si>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</si>
  <si>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</si>
  <si>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</si>
  <si>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</si>
  <si>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</si>
  <si>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</si>
  <si>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</si>
  <si>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</si>
  <si>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</si>
  <si>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</si>
  <si>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</si>
  <si>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</si>
  <si>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</si>
  <si>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</si>
  <si>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</si>
  <si>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</si>
  <si>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</si>
  <si>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</si>
  <si>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</si>
  <si>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</si>
  <si>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</si>
  <si>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</si>
  <si>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</si>
  <si>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</si>
  <si>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</si>
  <si>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</si>
  <si>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</si>
  <si>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</si>
  <si>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</si>
  <si>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</si>
  <si>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</si>
  <si>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</si>
  <si>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</si>
  <si>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</si>
  <si>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</si>
  <si>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</si>
  <si>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</si>
  <si>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</si>
  <si>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</si>
  <si>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</si>
  <si>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</si>
  <si>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</si>
  <si>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</si>
  <si>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</si>
  <si>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</si>
  <si>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</si>
  <si>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</si>
  <si>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</si>
  <si>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</si>
  <si>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</si>
  <si>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</si>
  <si>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</si>
  <si>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</si>
  <si>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</si>
  <si>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</si>
  <si>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</si>
  <si>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</si>
  <si>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</si>
  <si>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</si>
  <si>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</si>
  <si>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</si>
  <si>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</si>
  <si>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</si>
  <si>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</si>
  <si>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</si>
  <si>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</si>
  <si>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</si>
  <si>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</si>
  <si>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</si>
  <si>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</si>
  <si>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</si>
  <si>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</si>
  <si>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</si>
  <si>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</si>
  <si>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</si>
  <si>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</si>
  <si>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</si>
  <si>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</si>
  <si>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</si>
  <si>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</si>
  <si>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</si>
  <si>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</si>
  <si>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</si>
  <si>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</si>
  <si>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</si>
  <si>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</si>
  <si>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</si>
  <si>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</si>
  <si>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</si>
  <si>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</si>
  <si>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</si>
  <si>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</si>
  <si>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</si>
  <si>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</si>
  <si>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</si>
  <si>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</si>
  <si>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</si>
  <si>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</si>
  <si>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</si>
  <si>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</si>
  <si>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</si>
  <si>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</si>
  <si>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</si>
  <si>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</si>
  <si>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</si>
  <si>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</si>
  <si>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</si>
  <si>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</si>
  <si>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</si>
  <si>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</si>
  <si>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</si>
  <si>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</si>
  <si>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</si>
  <si>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</si>
  <si>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</si>
  <si>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</si>
  <si>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</si>
  <si>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</si>
  <si>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</si>
  <si>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</si>
  <si>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</si>
  <si>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</si>
  <si>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</si>
  <si>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</si>
  <si>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</si>
  <si>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</si>
  <si>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</si>
  <si>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</si>
  <si>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</si>
  <si>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</si>
  <si>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</si>
  <si>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</si>
  <si>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</si>
  <si>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</si>
  <si>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</si>
  <si>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</si>
  <si>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</si>
  <si>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</si>
  <si>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</si>
  <si>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</si>
  <si>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</si>
  <si>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</si>
  <si>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</si>
  <si>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</si>
  <si>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</si>
  <si>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</si>
  <si>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</si>
  <si>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</si>
  <si>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</si>
  <si>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</si>
  <si>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</si>
  <si>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</si>
  <si>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</si>
  <si>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</si>
  <si>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</si>
  <si>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</si>
  <si>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</si>
  <si>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</si>
  <si>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</si>
  <si>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</si>
  <si>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</si>
  <si>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</si>
  <si>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</si>
  <si>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</si>
  <si>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</si>
  <si>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</si>
  <si>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</si>
  <si>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</si>
  <si>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</si>
  <si>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</si>
  <si>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</si>
  <si>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</si>
  <si>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</si>
  <si>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</si>
  <si>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</si>
  <si>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</si>
  <si>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</si>
  <si>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</si>
  <si>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</si>
  <si>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</si>
  <si>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</si>
  <si>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</si>
  <si>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</si>
  <si>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</si>
  <si>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</si>
  <si>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</si>
  <si>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</si>
  <si>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</si>
  <si>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</si>
  <si>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</si>
  <si>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</si>
  <si>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</si>
  <si>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</si>
  <si>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</si>
  <si>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</si>
  <si>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</si>
  <si>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</si>
  <si>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</si>
  <si>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</si>
  <si>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</si>
  <si>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</si>
  <si>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</si>
  <si>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</si>
  <si>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</si>
  <si>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</si>
  <si>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</si>
  <si>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</si>
  <si>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</si>
  <si>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</si>
  <si>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</si>
  <si>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</si>
  <si>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</si>
  <si>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</si>
  <si>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</si>
  <si>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</si>
  <si>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</si>
  <si>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</si>
  <si>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</si>
  <si>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</si>
  <si>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</si>
  <si>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</si>
  <si>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</si>
  <si>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</si>
  <si>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</si>
  <si>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</si>
  <si>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</si>
  <si>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</si>
  <si>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</si>
  <si>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</si>
  <si>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</si>
  <si>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</si>
  <si>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</si>
  <si>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</si>
  <si>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</si>
  <si>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</si>
  <si>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</si>
  <si>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</si>
  <si>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</si>
  <si>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</si>
  <si>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</si>
  <si>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</si>
  <si>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</si>
  <si>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</si>
  <si>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</si>
  <si>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</si>
  <si>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</si>
  <si>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</si>
  <si>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</si>
  <si>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</si>
  <si>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</si>
  <si>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</si>
  <si>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</si>
  <si>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</si>
  <si>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</si>
  <si>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</si>
  <si>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</si>
  <si>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</si>
  <si>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</si>
  <si>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</si>
  <si>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</si>
  <si>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</si>
  <si>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</si>
  <si>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</si>
  <si>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</si>
  <si>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</si>
  <si>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</si>
  <si>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</si>
  <si>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</si>
  <si>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</si>
  <si>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</si>
  <si>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</si>
  <si>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</si>
  <si>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</si>
  <si>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</si>
  <si>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</si>
  <si>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</si>
  <si>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</si>
  <si>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</si>
  <si>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</si>
  <si>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</si>
  <si>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</si>
  <si>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</si>
  <si>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</si>
  <si>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</si>
  <si>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</si>
  <si>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</si>
  <si>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</si>
  <si>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</si>
  <si>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</si>
  <si>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</si>
  <si>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</si>
  <si>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</si>
  <si>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</si>
  <si>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</si>
  <si>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</si>
  <si>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</si>
  <si>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</si>
  <si>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</si>
  <si>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</si>
  <si>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</si>
  <si>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</si>
  <si>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</si>
  <si>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</si>
  <si>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</si>
  <si>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</si>
  <si>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</si>
  <si>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</si>
  <si>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</si>
  <si>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</si>
  <si>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</si>
  <si>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</si>
  <si>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</si>
  <si>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</si>
  <si>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</si>
  <si>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</si>
  <si>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</si>
  <si>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</si>
  <si>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</si>
  <si>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</si>
  <si>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</si>
  <si>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</si>
  <si>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</si>
  <si>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</si>
  <si>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</si>
  <si>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</si>
  <si>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</si>
  <si>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</si>
  <si>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</si>
  <si>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</si>
  <si>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</si>
  <si>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</si>
  <si>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</si>
  <si>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</si>
  <si>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</si>
  <si>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</si>
  <si>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</si>
  <si>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</si>
  <si>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</si>
  <si>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</si>
  <si>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</si>
  <si>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</si>
  <si>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</si>
  <si>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</si>
  <si>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</si>
  <si>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</si>
  <si>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</si>
  <si>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</si>
  <si>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</si>
  <si>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</si>
  <si>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</si>
  <si>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</si>
  <si>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</si>
  <si>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</si>
  <si>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</si>
  <si>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</si>
  <si>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</si>
  <si>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</si>
  <si>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</si>
  <si>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</si>
  <si>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</si>
  <si>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</si>
  <si>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</si>
  <si>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</si>
  <si>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</si>
  <si>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</si>
  <si>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</si>
  <si>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</si>
  <si>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</si>
  <si>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</si>
  <si>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</si>
  <si>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</si>
  <si>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</si>
  <si>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</si>
  <si>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</si>
  <si>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</si>
  <si>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</si>
  <si>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</si>
  <si>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</si>
  <si>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</si>
  <si>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</si>
  <si>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</si>
  <si>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</si>
  <si>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</si>
  <si>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</si>
  <si>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</si>
  <si>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</si>
  <si>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</si>
  <si>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</si>
  <si>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</si>
  <si>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</si>
  <si>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</si>
  <si>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</si>
  <si>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</si>
  <si>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</si>
  <si>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</si>
  <si>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</si>
  <si>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</si>
  <si>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</si>
  <si>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</si>
  <si>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</si>
  <si>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</si>
  <si>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</si>
  <si>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</si>
  <si>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</si>
  <si>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</si>
  <si>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</si>
  <si>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</si>
  <si>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</si>
  <si>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</si>
  <si>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</si>
  <si>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</si>
  <si>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</si>
  <si>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</si>
  <si>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</si>
  <si>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</si>
  <si>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</si>
  <si>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</si>
  <si>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</si>
  <si>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</si>
  <si>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</si>
  <si>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</si>
  <si>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</si>
  <si>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</si>
  <si>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</si>
  <si>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</si>
  <si>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</si>
  <si>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</si>
  <si>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</si>
  <si>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</si>
  <si>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</si>
  <si>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</si>
  <si>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</si>
  <si>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</si>
  <si>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</si>
  <si>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</si>
  <si>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</si>
  <si>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</si>
  <si>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</si>
  <si>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</si>
  <si>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</si>
  <si>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</si>
  <si>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</si>
  <si>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</si>
  <si>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</si>
  <si>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</si>
  <si>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</si>
  <si>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</si>
  <si>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</si>
  <si>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</si>
  <si>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</si>
  <si>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</si>
  <si>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</si>
  <si>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</si>
  <si>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</si>
  <si>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</si>
  <si>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</si>
  <si>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</si>
  <si>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</si>
  <si>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</si>
  <si>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</si>
  <si>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</si>
  <si>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</si>
  <si>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</si>
  <si>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</si>
  <si>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</si>
  <si>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</si>
  <si>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</si>
  <si>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</si>
  <si>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</si>
  <si>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</si>
  <si>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</si>
  <si>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</si>
  <si>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</si>
  <si>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</si>
  <si>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</si>
  <si>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</si>
  <si>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</si>
  <si>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</si>
  <si>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</si>
  <si>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</si>
  <si>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</si>
  <si>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</si>
  <si>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</si>
  <si>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</si>
  <si>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</si>
  <si>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</si>
  <si>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</si>
  <si>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</si>
  <si>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</si>
  <si>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</si>
  <si>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</si>
  <si>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</si>
  <si>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</si>
  <si>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</si>
  <si>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</si>
  <si>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</si>
  <si>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</si>
  <si>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</si>
  <si>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</si>
  <si>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</si>
  <si>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</si>
  <si>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</si>
  <si>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</si>
  <si>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</si>
  <si>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</si>
  <si>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</si>
  <si>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</si>
  <si>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</si>
  <si>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</si>
  <si>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</si>
  <si>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</si>
  <si>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</si>
  <si>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</si>
  <si>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</si>
  <si>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</si>
  <si>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</si>
  <si>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</si>
  <si>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</si>
  <si>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</si>
  <si>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</si>
  <si>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</si>
  <si>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</si>
  <si>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</si>
  <si>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</si>
  <si>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</si>
  <si>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</si>
  <si>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</si>
  <si>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</si>
  <si>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</si>
  <si>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</si>
  <si>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</si>
  <si>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</si>
  <si>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</si>
  <si>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</si>
  <si>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</si>
  <si>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</si>
  <si>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</si>
  <si>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</si>
  <si>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</si>
  <si>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</si>
  <si>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</si>
  <si>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</si>
  <si>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</si>
  <si>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</si>
  <si>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</si>
  <si>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</si>
  <si>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</si>
  <si>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</si>
  <si>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</si>
  <si>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</si>
  <si>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</si>
  <si>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</si>
  <si>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</si>
  <si>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</si>
  <si>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</si>
  <si>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</si>
  <si>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</si>
  <si>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</si>
  <si>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</si>
  <si>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</si>
  <si>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</si>
  <si>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</si>
  <si>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</si>
  <si>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</si>
  <si>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</si>
  <si>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</si>
  <si>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</si>
  <si>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</si>
  <si>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</si>
  <si>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</si>
  <si>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</si>
  <si>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</si>
  <si>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</si>
  <si>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</si>
  <si>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</si>
  <si>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</si>
  <si>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</si>
  <si>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</si>
  <si>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</si>
  <si>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</si>
  <si>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</si>
  <si>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</si>
  <si>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</si>
  <si>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</si>
  <si>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</si>
  <si>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</si>
  <si>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</si>
  <si>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</si>
  <si>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</si>
  <si>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</si>
  <si>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</si>
  <si>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</si>
  <si>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</si>
  <si>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</si>
  <si>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</si>
  <si>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</si>
  <si>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</si>
  <si>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</si>
  <si>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</si>
  <si>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</si>
  <si>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</si>
  <si>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</si>
  <si>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</si>
  <si>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</si>
  <si>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</si>
  <si>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</si>
  <si>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</si>
  <si>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</si>
  <si>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</si>
  <si>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</si>
  <si>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</si>
  <si>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</si>
  <si>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</si>
  <si>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</si>
  <si>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</si>
  <si>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</si>
  <si>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</si>
  <si>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</si>
  <si>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</si>
  <si>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</si>
  <si>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</si>
  <si>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</si>
  <si>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</si>
  <si>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</si>
  <si>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</si>
  <si>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</si>
  <si>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</si>
  <si>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</si>
  <si>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</si>
  <si>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</si>
  <si>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</si>
  <si>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</si>
  <si>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</si>
  <si>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</si>
  <si>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</si>
  <si>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</si>
  <si>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</si>
  <si>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</si>
  <si>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</si>
  <si>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</si>
  <si>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</si>
  <si>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</si>
  <si>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</si>
  <si>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</si>
  <si>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</si>
  <si>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</si>
  <si>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</si>
  <si>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</si>
  <si>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</si>
  <si>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</si>
  <si>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</si>
  <si>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</si>
  <si>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</si>
  <si>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</si>
  <si>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</si>
  <si>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</si>
  <si>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</si>
  <si>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</si>
  <si>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</si>
  <si>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</si>
  <si>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</si>
  <si>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</si>
  <si>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</si>
  <si>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</si>
  <si>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</si>
  <si>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</si>
  <si>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</si>
  <si>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</si>
  <si>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</si>
  <si>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</si>
  <si>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</si>
  <si>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</si>
  <si>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</si>
  <si>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</si>
  <si>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</si>
  <si>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</si>
  <si>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</si>
  <si>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</si>
  <si>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</si>
  <si>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</si>
  <si>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</si>
  <si>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</si>
  <si>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</si>
  <si>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</si>
  <si>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</si>
  <si>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</si>
  <si>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</si>
  <si>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</si>
  <si>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</si>
  <si>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</si>
  <si>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</si>
  <si>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</si>
  <si>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</si>
  <si>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</si>
  <si>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</si>
  <si>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</si>
  <si>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</si>
  <si>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</si>
  <si>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</si>
  <si>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</si>
  <si>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</si>
  <si>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</si>
  <si>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</si>
  <si>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</si>
  <si>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</si>
  <si>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</si>
  <si>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</si>
  <si>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</si>
  <si>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</si>
  <si>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</si>
  <si>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</si>
  <si>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</si>
  <si>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</si>
  <si>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</si>
  <si>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</si>
  <si>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</si>
  <si>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</si>
  <si>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</si>
  <si>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</si>
  <si>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</si>
  <si>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</si>
  <si>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</si>
  <si>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</si>
  <si>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</si>
  <si>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</si>
  <si>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</si>
  <si>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</si>
  <si>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</si>
  <si>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</si>
  <si>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</si>
  <si>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</si>
  <si>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</si>
  <si>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</si>
  <si>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</si>
  <si>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</si>
  <si>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</si>
  <si>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</si>
  <si>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</si>
  <si>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</si>
  <si>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</si>
  <si>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</si>
  <si>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</si>
  <si>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</si>
  <si>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</si>
  <si>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</si>
  <si>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</si>
  <si>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</si>
  <si>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</si>
  <si>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</si>
  <si>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</si>
  <si>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</si>
  <si>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</si>
  <si>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</si>
  <si>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</si>
  <si>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</si>
  <si>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</si>
  <si>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</si>
  <si>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</si>
  <si>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</si>
  <si>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</si>
  <si>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</si>
  <si>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</si>
  <si>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</si>
  <si>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</si>
  <si>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</si>
  <si>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</si>
  <si>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</si>
  <si>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</si>
  <si>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</si>
  <si>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</si>
  <si>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</si>
  <si>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</si>
  <si>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</si>
  <si>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</si>
  <si>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</si>
  <si>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</si>
  <si>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</si>
  <si>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</si>
  <si>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</si>
  <si>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</si>
  <si>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</si>
  <si>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</si>
  <si>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</si>
  <si>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</si>
  <si>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</si>
  <si>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</si>
  <si>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</si>
  <si>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</si>
  <si>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</si>
  <si>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</si>
  <si>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</si>
  <si>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</si>
  <si>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</si>
  <si>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</si>
  <si>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</si>
  <si>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</si>
  <si>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</si>
  <si>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</si>
  <si>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</si>
  <si>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</si>
  <si>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</si>
  <si>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</si>
  <si>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</si>
  <si>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</si>
  <si>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</si>
  <si>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</si>
  <si>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</si>
  <si>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</si>
  <si>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</si>
  <si>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</si>
  <si>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</si>
  <si>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</si>
  <si>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</si>
  <si>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</si>
  <si>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</si>
  <si>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</si>
  <si>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</si>
  <si>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</si>
  <si>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</si>
  <si>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</si>
  <si>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</si>
  <si>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</si>
  <si>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</si>
  <si>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</si>
  <si>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</si>
  <si>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</si>
  <si>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</si>
  <si>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</si>
  <si>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</si>
  <si>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</si>
  <si>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</si>
  <si>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</si>
  <si>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</si>
  <si>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</si>
  <si>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</si>
  <si>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</si>
  <si>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</si>
  <si>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</si>
  <si>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</si>
  <si>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</si>
  <si>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</si>
  <si>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</si>
  <si>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</si>
  <si>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</si>
  <si>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</si>
  <si>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</si>
  <si>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</si>
  <si>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</si>
  <si>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</si>
  <si>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</si>
  <si>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</si>
  <si>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</si>
  <si>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</si>
  <si>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</si>
  <si>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</si>
  <si>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</si>
  <si>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</si>
  <si>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</si>
  <si>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</si>
  <si>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</si>
  <si>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</si>
  <si>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</si>
  <si>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</si>
  <si>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</si>
  <si>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</si>
  <si>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</si>
  <si>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</si>
  <si>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</si>
  <si>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</si>
  <si>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</si>
  <si>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</si>
  <si>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</si>
  <si>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</si>
  <si>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</si>
  <si>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</si>
  <si>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</si>
  <si>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</si>
  <si>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</si>
  <si>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</si>
  <si>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</si>
  <si>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</si>
  <si>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</si>
  <si>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</si>
  <si>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</si>
  <si>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</si>
  <si>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</si>
  <si>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</si>
  <si>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</si>
  <si>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</si>
  <si>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</si>
  <si>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</si>
  <si>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</si>
  <si>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</si>
  <si>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</si>
  <si>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</si>
  <si>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</si>
  <si>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</si>
  <si>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</si>
  <si>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</si>
  <si>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</si>
  <si>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</si>
  <si>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</si>
  <si>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</si>
  <si>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</si>
  <si>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</si>
  <si>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</si>
  <si>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</si>
  <si>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</si>
  <si>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</si>
  <si>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</si>
  <si>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</si>
  <si>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</si>
  <si>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</si>
  <si>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</si>
  <si>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</si>
  <si>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</si>
  <si>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</si>
  <si>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</si>
  <si>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</si>
  <si>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</si>
  <si>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</si>
  <si>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</si>
  <si>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</si>
  <si>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</si>
  <si>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</si>
  <si>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</si>
  <si>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</si>
  <si>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</si>
  <si>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</si>
  <si>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</si>
  <si>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</si>
  <si>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</si>
  <si>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</si>
  <si>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</si>
  <si>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</si>
  <si>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</si>
  <si>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</si>
  <si>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</si>
  <si>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</si>
  <si>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</si>
  <si>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</si>
  <si>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</si>
  <si>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</si>
  <si>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</si>
  <si>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</si>
  <si>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</si>
  <si>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</si>
  <si>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</si>
  <si>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</si>
  <si>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</si>
  <si>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</si>
  <si>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</si>
  <si>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</si>
  <si>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</si>
  <si>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</si>
  <si>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</si>
  <si>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</si>
  <si>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</si>
  <si>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</si>
  <si>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</si>
  <si>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</si>
  <si>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</si>
  <si>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</si>
  <si>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</si>
  <si>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</si>
  <si>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</si>
  <si>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</si>
  <si>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</si>
  <si>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</si>
  <si>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</si>
  <si>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</si>
  <si>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</si>
  <si>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</si>
  <si>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</si>
  <si>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</si>
  <si>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</si>
  <si>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</si>
  <si>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</si>
  <si>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</si>
  <si>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</si>
  <si>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</si>
  <si>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</si>
  <si>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</si>
  <si>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</si>
  <si>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</si>
  <si>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</si>
  <si>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</si>
  <si>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</si>
  <si>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</si>
  <si>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</si>
  <si>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</si>
  <si>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</si>
  <si>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</si>
  <si>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</si>
  <si>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</si>
  <si>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</si>
  <si>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</si>
  <si>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</si>
  <si>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</si>
  <si>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</si>
  <si>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</si>
  <si>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</si>
  <si>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</si>
  <si>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</si>
  <si>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</si>
  <si>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</si>
  <si>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</si>
  <si>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</si>
  <si>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</si>
  <si>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</si>
  <si>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</si>
  <si>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</si>
  <si>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</si>
  <si>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</si>
  <si>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</si>
  <si>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</si>
  <si>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</si>
  <si>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</si>
  <si>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</si>
  <si>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</si>
  <si>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</si>
  <si>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</si>
  <si>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</si>
  <si>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</si>
  <si>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</si>
  <si>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</si>
  <si>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</si>
  <si>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</si>
  <si>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</si>
  <si>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</si>
  <si>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</si>
  <si>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</si>
  <si>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</si>
  <si>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</si>
  <si>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</si>
  <si>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</si>
  <si>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</si>
  <si>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</si>
  <si>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</si>
  <si>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</si>
  <si>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</si>
  <si>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</si>
  <si>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</si>
  <si>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</si>
  <si>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</si>
  <si>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</si>
  <si>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</si>
  <si>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</si>
  <si>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</si>
  <si>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</si>
  <si>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</si>
  <si>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</si>
  <si>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</si>
  <si>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</si>
  <si>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</si>
  <si>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</si>
  <si>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</si>
  <si>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</si>
  <si>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</si>
  <si>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</si>
  <si>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</si>
  <si>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</si>
  <si>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</si>
  <si>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</si>
  <si>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</si>
  <si>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</si>
  <si>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</si>
  <si>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</si>
  <si>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</si>
  <si>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</si>
  <si>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</si>
  <si>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</si>
  <si>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</si>
  <si>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</si>
  <si>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</si>
  <si>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</si>
  <si>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</si>
  <si>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</si>
  <si>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</si>
  <si>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</si>
  <si>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</si>
  <si>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</si>
  <si>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</si>
  <si>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</si>
  <si>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</si>
  <si>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</si>
  <si>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</si>
  <si>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</si>
  <si>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</si>
  <si>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</si>
  <si>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</si>
  <si>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</si>
  <si>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</si>
  <si>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</si>
  <si>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</si>
  <si>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</si>
  <si>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</si>
  <si>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</si>
  <si>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</si>
  <si>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</si>
  <si>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</si>
  <si>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</si>
  <si>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</si>
  <si>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</si>
  <si>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</si>
  <si>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</si>
  <si>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</si>
  <si>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</si>
  <si>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</si>
  <si>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</si>
  <si>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</si>
  <si>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</si>
  <si>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</si>
  <si>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</si>
  <si>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</si>
  <si>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</si>
  <si>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</si>
  <si>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</si>
  <si>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</si>
  <si>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</si>
  <si>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</si>
  <si>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</si>
  <si>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</si>
  <si>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</si>
  <si>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</si>
  <si>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</si>
  <si>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</si>
  <si>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</si>
  <si>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</si>
  <si>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</si>
  <si>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</si>
  <si>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</si>
  <si>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</si>
  <si>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</si>
  <si>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</si>
  <si>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</si>
  <si>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</si>
  <si>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</si>
  <si>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</si>
  <si>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</si>
  <si>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</si>
  <si>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</si>
  <si>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</si>
  <si>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</si>
  <si>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</si>
  <si>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</si>
  <si>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</si>
  <si>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</si>
  <si>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</si>
  <si>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</si>
  <si>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</si>
  <si>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</si>
  <si>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</si>
  <si>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</si>
  <si>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</si>
  <si>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</si>
  <si>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</si>
  <si>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</si>
  <si>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</si>
  <si>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</si>
  <si>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</si>
  <si>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</si>
  <si>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</si>
  <si>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</si>
  <si>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</si>
  <si>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</si>
  <si>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</si>
  <si>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</si>
  <si>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</si>
  <si>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</si>
  <si>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</si>
  <si>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</si>
  <si>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</si>
  <si>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</si>
  <si>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</si>
  <si>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</si>
  <si>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</si>
  <si>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</si>
  <si>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</si>
  <si>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</si>
  <si>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</si>
  <si>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</si>
  <si>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</si>
  <si>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</si>
  <si>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</si>
  <si>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</si>
  <si>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</si>
  <si>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</si>
  <si>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</si>
  <si>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</si>
  <si>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</si>
  <si>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</si>
  <si>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</si>
  <si>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</si>
  <si>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</si>
  <si>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</si>
  <si>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</si>
  <si>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</si>
  <si>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</si>
  <si>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</si>
  <si>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</si>
  <si>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</si>
  <si>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</si>
  <si>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</si>
  <si>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</si>
  <si>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</si>
  <si>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</si>
  <si>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</si>
  <si>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</si>
  <si>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</si>
  <si>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</si>
  <si>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</si>
  <si>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</si>
  <si>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</si>
  <si>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</si>
  <si>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</si>
  <si>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</si>
  <si>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</si>
  <si>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</si>
  <si>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</si>
  <si>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</si>
  <si>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</si>
  <si>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</si>
  <si>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</si>
  <si>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</si>
  <si>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</si>
  <si>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</si>
  <si>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</si>
  <si>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</si>
  <si>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</si>
  <si>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</si>
  <si>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</si>
  <si>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</si>
  <si>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</si>
  <si>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</si>
  <si>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</si>
  <si>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</si>
  <si>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</si>
  <si>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</si>
  <si>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</si>
  <si>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</si>
  <si>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</si>
  <si>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</si>
  <si>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</si>
  <si>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</si>
  <si>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</si>
  <si>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</si>
  <si>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</si>
  <si>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</si>
  <si>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</si>
  <si>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</si>
  <si>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</si>
  <si>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</si>
  <si>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</si>
  <si>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</si>
  <si>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</si>
  <si>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</si>
  <si>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</si>
  <si>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</si>
  <si>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</si>
  <si>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</si>
  <si>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</si>
  <si>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</si>
  <si>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</si>
  <si>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</si>
  <si>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</si>
  <si>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</si>
  <si>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</si>
  <si>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</si>
  <si>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</si>
  <si>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</si>
  <si>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</si>
  <si>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</si>
  <si>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</si>
  <si>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</si>
  <si>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</si>
  <si>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</si>
  <si>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</si>
  <si>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</si>
  <si>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</si>
  <si>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</si>
  <si>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</si>
  <si>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</si>
  <si>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</si>
  <si>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</si>
  <si>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</si>
  <si>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</si>
  <si>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</si>
  <si>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</si>
  <si>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</si>
  <si>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</si>
  <si>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</si>
  <si>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</si>
  <si>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</si>
  <si>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</si>
  <si>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</si>
  <si>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</si>
  <si>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</si>
  <si>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</si>
  <si>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</si>
  <si>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</si>
  <si>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</si>
  <si>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</si>
  <si>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</si>
  <si>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</si>
  <si>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</si>
  <si>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</si>
  <si>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</si>
  <si>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</si>
  <si>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</si>
  <si>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</si>
  <si>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</si>
  <si>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</si>
  <si>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</si>
  <si>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</si>
  <si>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</si>
  <si>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</si>
  <si>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</si>
  <si>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</si>
  <si>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</si>
  <si>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</si>
  <si>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</si>
  <si>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</si>
  <si>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</si>
  <si>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</si>
  <si>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</si>
  <si>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</si>
  <si>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</si>
  <si>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</si>
  <si>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</si>
  <si>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</si>
  <si>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</si>
  <si>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</si>
  <si>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</si>
  <si>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</si>
  <si>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</si>
  <si>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</si>
  <si>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</si>
  <si>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</si>
  <si>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</si>
  <si>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</si>
  <si>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</si>
  <si>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</si>
  <si>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</si>
  <si>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</si>
  <si>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</si>
  <si>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</si>
  <si>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</si>
  <si>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</si>
  <si>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</si>
  <si>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</si>
  <si>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</si>
  <si>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</si>
  <si>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</si>
  <si>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</si>
  <si>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</si>
  <si>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</si>
  <si>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</si>
  <si>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</si>
  <si>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</si>
  <si>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</si>
  <si>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</si>
  <si>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</si>
  <si>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</si>
  <si>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</si>
  <si>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</si>
  <si>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</si>
  <si>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</si>
  <si>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</si>
  <si>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</si>
  <si>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</si>
  <si>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</si>
  <si>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</si>
  <si>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</si>
  <si>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</si>
  <si>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</si>
  <si>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</si>
  <si>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</si>
  <si>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</si>
  <si>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</si>
  <si>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</si>
  <si>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</si>
  <si>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</si>
  <si>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</si>
  <si>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</si>
  <si>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</si>
  <si>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</si>
  <si>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</si>
  <si>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</si>
  <si>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</si>
  <si>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</si>
  <si>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</si>
  <si>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</si>
  <si>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</si>
  <si>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</si>
  <si>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</si>
  <si>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</si>
  <si>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</si>
  <si>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</si>
  <si>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</si>
  <si>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</si>
  <si>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</si>
  <si>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</si>
  <si>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</si>
  <si>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</si>
  <si>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</si>
  <si>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</si>
  <si>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</si>
  <si>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</si>
  <si>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</si>
  <si>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</si>
  <si>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</si>
  <si>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</si>
  <si>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</si>
  <si>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</si>
  <si>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</si>
  <si>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</si>
  <si>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</si>
  <si>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</si>
  <si>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</si>
  <si>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</si>
  <si>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</si>
  <si>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</si>
  <si>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</si>
  <si>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</si>
  <si>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</si>
  <si>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</si>
  <si>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</si>
  <si>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</si>
  <si>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</si>
  <si>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</si>
  <si>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</si>
  <si>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</si>
  <si>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</si>
  <si>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</si>
  <si>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</si>
  <si>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</si>
  <si>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</si>
  <si>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</si>
  <si>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</si>
  <si>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</si>
  <si>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</si>
  <si>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</si>
  <si>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</si>
  <si>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</si>
  <si>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</si>
  <si>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</si>
  <si>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</si>
  <si>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</si>
  <si>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</si>
  <si>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</si>
  <si>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</si>
  <si>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</si>
  <si>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</si>
  <si>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</si>
  <si>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</si>
  <si>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</si>
  <si>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</si>
  <si>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</si>
  <si>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</si>
  <si>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</si>
  <si>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</si>
  <si>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</si>
  <si>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</si>
  <si>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</si>
  <si>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</si>
  <si>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</si>
  <si>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</si>
  <si>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</si>
  <si>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</si>
  <si>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</si>
  <si>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</si>
  <si>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</si>
  <si>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</si>
  <si>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</si>
  <si>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</si>
  <si>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</si>
  <si>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</si>
  <si>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</si>
  <si>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</si>
  <si>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</si>
  <si>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</si>
  <si>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</si>
  <si>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</si>
  <si>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</si>
  <si>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</si>
  <si>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</si>
  <si>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</si>
  <si>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</si>
  <si>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</si>
  <si>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</si>
  <si>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</si>
  <si>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</si>
  <si>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</si>
  <si>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</si>
  <si>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</si>
  <si>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</si>
  <si>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</si>
  <si>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</si>
  <si>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</si>
  <si>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</si>
  <si>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</si>
  <si>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</si>
  <si>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</si>
  <si>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</si>
  <si>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</si>
  <si>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</si>
  <si>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</si>
  <si>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</si>
  <si>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</si>
  <si>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</si>
  <si>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</si>
  <si>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</si>
  <si>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</si>
  <si>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</si>
  <si>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</si>
  <si>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</si>
  <si>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</si>
  <si>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</si>
  <si>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</si>
  <si>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</si>
  <si>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</si>
  <si>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</si>
  <si>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</si>
  <si>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</si>
  <si>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</si>
  <si>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</si>
  <si>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</si>
  <si>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</si>
  <si>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</si>
  <si>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</si>
  <si>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</si>
  <si>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</si>
  <si>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</si>
  <si>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</si>
  <si>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</si>
  <si>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</si>
  <si>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</si>
  <si>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</si>
  <si>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</si>
  <si>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</si>
  <si>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</si>
  <si>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</si>
  <si>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</si>
  <si>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</si>
  <si>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</si>
  <si>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</si>
  <si>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</si>
  <si>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</si>
  <si>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</si>
  <si>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</si>
  <si>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</si>
  <si>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</si>
  <si>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</si>
  <si>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</si>
  <si>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</si>
  <si>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</si>
  <si>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</si>
  <si>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</si>
  <si>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</si>
  <si>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</si>
  <si>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</si>
  <si>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</si>
  <si>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</si>
  <si>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</si>
  <si>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</si>
  <si>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</si>
  <si>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</si>
  <si>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</si>
  <si>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</si>
  <si>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</si>
  <si>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</si>
  <si>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</si>
  <si>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</si>
  <si>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</si>
  <si>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</si>
  <si>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</si>
  <si>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</si>
  <si>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</si>
  <si>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</si>
  <si>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</si>
  <si>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</si>
  <si>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</si>
  <si>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</si>
  <si>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</si>
  <si>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</si>
  <si>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</si>
  <si>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</si>
  <si>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</si>
  <si>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</si>
  <si>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</si>
  <si>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</si>
  <si>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</si>
  <si>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</si>
  <si>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</si>
  <si>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</si>
  <si>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</si>
  <si>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</si>
  <si>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</si>
  <si>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</si>
  <si>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</si>
  <si>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</si>
  <si>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</si>
  <si>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</si>
  <si>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</si>
  <si>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</si>
  <si>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</si>
  <si>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</si>
  <si>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</si>
  <si>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</si>
  <si>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</si>
  <si>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</si>
  <si>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</si>
  <si>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</si>
  <si>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</si>
  <si>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</si>
  <si>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</si>
  <si>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</si>
  <si>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</si>
  <si>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</si>
  <si>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</si>
  <si>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</si>
  <si>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</si>
  <si>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</si>
  <si>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</si>
  <si>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</si>
  <si>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</si>
  <si>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</si>
  <si>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</si>
  <si>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</si>
  <si>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</si>
  <si>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</si>
  <si>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</si>
  <si>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</si>
  <si>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</si>
  <si>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</si>
  <si>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</si>
  <si>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</si>
  <si>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</si>
  <si>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</si>
  <si>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</si>
  <si>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</si>
  <si>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</si>
  <si>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</si>
  <si>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</si>
  <si>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</si>
  <si>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</si>
  <si>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</si>
  <si>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</si>
  <si>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</si>
  <si>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</si>
  <si>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</si>
  <si>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</si>
  <si>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</si>
  <si>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</si>
  <si>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</si>
  <si>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</si>
  <si>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</si>
  <si>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</si>
  <si>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</si>
  <si>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</si>
  <si>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</si>
  <si>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</si>
  <si>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</si>
  <si>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</si>
  <si>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</si>
  <si>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</si>
  <si>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</si>
  <si>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</si>
  <si>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</si>
  <si>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</si>
  <si>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</si>
  <si>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</si>
  <si>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</si>
  <si>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</si>
  <si>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</si>
  <si>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</si>
  <si>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</si>
  <si>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</si>
  <si>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</si>
  <si>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</si>
  <si>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</si>
  <si>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</si>
  <si>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</si>
  <si>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</si>
  <si>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</si>
  <si>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</si>
  <si>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</si>
  <si>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</si>
  <si>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</si>
  <si>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</si>
  <si>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</si>
  <si>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</si>
  <si>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</si>
  <si>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</si>
  <si>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</si>
  <si>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</si>
  <si>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</si>
  <si>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</si>
  <si>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</si>
  <si>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</si>
  <si>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</si>
  <si>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</si>
  <si>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</si>
  <si>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</si>
  <si>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</si>
  <si>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</si>
  <si>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</si>
  <si>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</si>
  <si>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</si>
  <si>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</si>
  <si>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</si>
  <si>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</si>
  <si>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</si>
  <si>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</si>
  <si>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</si>
  <si>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</si>
  <si>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</si>
  <si>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</si>
  <si>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</si>
  <si>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</si>
  <si>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</si>
  <si>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</si>
  <si>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</si>
  <si>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</si>
  <si>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</si>
  <si>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</si>
  <si>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</si>
  <si>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</si>
  <si>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</si>
  <si>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</si>
  <si>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</si>
  <si>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</si>
  <si>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</si>
  <si>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</si>
  <si>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</si>
  <si>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</si>
  <si>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</si>
  <si>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</si>
  <si>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</si>
  <si>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</si>
  <si>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</si>
  <si>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</si>
  <si>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</si>
  <si>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</si>
  <si>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</si>
  <si>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</si>
  <si>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</si>
  <si>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</si>
  <si>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</si>
  <si>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</si>
  <si>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</si>
  <si>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</si>
  <si>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</si>
  <si>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</si>
  <si>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</si>
  <si>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</si>
  <si>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</si>
  <si>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</si>
  <si>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</si>
  <si>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</si>
  <si>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</si>
  <si>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</si>
  <si>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</si>
  <si>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</si>
  <si>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</si>
  <si>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</si>
  <si>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</si>
  <si>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</si>
  <si>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</si>
  <si>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</si>
  <si>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</si>
  <si>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</si>
  <si>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</si>
  <si>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</si>
  <si>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</si>
  <si>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</si>
  <si>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</si>
  <si>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</si>
  <si>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</si>
  <si>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</si>
  <si>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</si>
  <si>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</si>
  <si>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</si>
  <si>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</si>
  <si>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</si>
  <si>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</si>
  <si>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</si>
  <si>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</si>
  <si>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</si>
  <si>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</si>
  <si>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</si>
  <si>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</si>
  <si>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</si>
  <si>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</si>
  <si>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</si>
  <si>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</si>
  <si>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</si>
  <si>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</si>
  <si>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</si>
  <si>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</si>
  <si>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</si>
  <si>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</si>
  <si>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</si>
  <si>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</si>
  <si>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</si>
  <si>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</si>
  <si>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</si>
  <si>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</si>
  <si>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</si>
  <si>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</si>
  <si>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</si>
  <si>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</si>
  <si>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</si>
  <si>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</si>
  <si>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</si>
  <si>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</si>
  <si>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</si>
  <si>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</si>
  <si>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</si>
  <si>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</si>
  <si>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</si>
  <si>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</si>
  <si>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</si>
  <si>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</si>
  <si>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</si>
  <si>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</si>
  <si>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</si>
  <si>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</si>
  <si>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</si>
  <si>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</si>
  <si>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</si>
  <si>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</si>
  <si>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</si>
  <si>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</si>
  <si>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</si>
  <si>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</si>
  <si>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</si>
  <si>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</si>
  <si>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</si>
  <si>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</si>
  <si>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</si>
  <si>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</si>
  <si>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</si>
  <si>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</si>
  <si>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</si>
  <si>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</si>
  <si>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</si>
  <si>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</si>
  <si>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</si>
  <si>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</si>
  <si>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</si>
  <si>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</si>
  <si>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</si>
  <si>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</si>
  <si>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</si>
  <si>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</si>
  <si>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</si>
  <si>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</si>
  <si>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</si>
  <si>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</si>
  <si>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</si>
  <si>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</si>
  <si>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</si>
  <si>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</si>
  <si>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</si>
  <si>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</si>
  <si>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</si>
  <si>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</si>
  <si>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</si>
  <si>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</si>
  <si>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</si>
  <si>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</si>
  <si>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</si>
  <si>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</si>
  <si>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</si>
  <si>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</si>
  <si>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</si>
  <si>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</si>
  <si>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</si>
  <si>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</si>
  <si>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</si>
  <si>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</si>
  <si>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</si>
  <si>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</si>
  <si>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</si>
  <si>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</si>
  <si>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</si>
  <si>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</si>
  <si>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</si>
  <si>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</si>
  <si>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</si>
  <si>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</si>
  <si>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</si>
  <si>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</si>
  <si>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</si>
  <si>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</si>
  <si>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</si>
  <si>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</si>
  <si>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</si>
  <si>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</si>
  <si>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</si>
  <si>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</si>
  <si>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</si>
  <si>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</si>
  <si>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</si>
  <si>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</si>
  <si>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</si>
  <si>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</si>
  <si>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</si>
  <si>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</si>
  <si>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</si>
  <si>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</si>
  <si>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</si>
  <si>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</si>
  <si>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</si>
  <si>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</si>
  <si>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</si>
  <si>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</si>
  <si>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</si>
  <si>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</si>
  <si>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</si>
  <si>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</si>
  <si>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</si>
  <si>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</si>
  <si>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</si>
  <si>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</si>
  <si>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</si>
  <si>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</si>
  <si>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</si>
  <si>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</si>
  <si>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</si>
  <si>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</si>
  <si>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</si>
  <si>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</si>
  <si>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</si>
  <si>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</si>
  <si>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</si>
  <si>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</si>
  <si>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</si>
  <si>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</si>
  <si>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</si>
  <si>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</si>
  <si>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</si>
  <si>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</si>
  <si>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</si>
  <si>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</si>
  <si>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</si>
  <si>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</si>
  <si>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</si>
  <si>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</si>
  <si>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</si>
  <si>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</si>
  <si>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</si>
  <si>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</si>
  <si>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</si>
  <si>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</si>
  <si>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</si>
  <si>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</si>
  <si>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</si>
  <si>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</si>
  <si>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</si>
  <si>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</si>
  <si>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</si>
  <si>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</si>
  <si>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</si>
  <si>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</si>
  <si>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</si>
  <si>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</si>
  <si>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</si>
  <si>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</si>
  <si>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</si>
  <si>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</si>
  <si>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</si>
  <si>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</si>
  <si>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</si>
  <si>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</si>
  <si>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</si>
  <si>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</si>
  <si>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</si>
  <si>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</si>
  <si>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</si>
  <si>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</si>
  <si>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</si>
  <si>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</si>
  <si>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</si>
  <si>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</si>
  <si>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</si>
  <si>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</si>
  <si>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</si>
  <si>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</si>
  <si>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</si>
  <si>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</si>
  <si>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</si>
  <si>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</si>
  <si>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</si>
  <si>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</si>
  <si>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</si>
  <si>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</si>
  <si>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</si>
  <si>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</si>
  <si>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</si>
  <si>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</si>
  <si>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</si>
  <si>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</si>
  <si>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</si>
  <si>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</si>
  <si>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</si>
  <si>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</si>
  <si>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</si>
  <si>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</si>
  <si>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</si>
  <si>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</si>
  <si>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</si>
  <si>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</si>
  <si>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</si>
  <si>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</si>
  <si>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</si>
  <si>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</si>
  <si>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</si>
  <si>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</si>
  <si>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</si>
  <si>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</si>
  <si>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</si>
  <si>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</si>
  <si>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</si>
  <si>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</si>
  <si>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</si>
  <si>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</si>
  <si>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</si>
  <si>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</si>
  <si>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</si>
  <si>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</si>
  <si>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</si>
  <si>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</si>
  <si>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</si>
  <si>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</si>
  <si>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</si>
  <si>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</si>
  <si>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</si>
  <si>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</si>
  <si>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</si>
  <si>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</si>
  <si>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</si>
  <si>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</si>
  <si>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</si>
  <si>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</si>
  <si>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</si>
  <si>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</si>
  <si>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</si>
  <si>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</si>
  <si>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</si>
  <si>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</si>
  <si>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</si>
  <si>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</si>
  <si>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</si>
  <si>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</si>
  <si>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</si>
  <si>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</si>
  <si>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</si>
  <si>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</si>
  <si>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</si>
  <si>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</si>
  <si>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</si>
  <si>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</si>
  <si>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</si>
  <si>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</si>
  <si>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</si>
  <si>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</si>
  <si>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</si>
  <si>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</si>
  <si>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</si>
  <si>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</si>
  <si>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</si>
  <si>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</si>
  <si>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</si>
  <si>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</si>
  <si>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</si>
  <si>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</si>
  <si>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</si>
  <si>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</si>
  <si>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</si>
  <si>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</si>
  <si>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</si>
  <si>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</si>
  <si>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</si>
  <si>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</si>
  <si>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</si>
  <si>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</si>
  <si>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</si>
  <si>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</si>
  <si>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</si>
  <si>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</si>
  <si>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</si>
  <si>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</si>
  <si>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</si>
  <si>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</si>
  <si>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</si>
  <si>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</si>
  <si>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</si>
  <si>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</si>
  <si>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</si>
  <si>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</si>
  <si>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</si>
  <si>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</si>
  <si>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</si>
  <si>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</si>
  <si>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</si>
  <si>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</si>
  <si>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</si>
  <si>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</si>
  <si>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</si>
  <si>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</si>
  <si>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</si>
  <si>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</si>
  <si>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</si>
  <si>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</si>
  <si>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</si>
  <si>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</si>
  <si>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</si>
  <si>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</si>
  <si>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</si>
  <si>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</si>
  <si>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</si>
  <si>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</si>
  <si>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</si>
  <si>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</si>
  <si>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</si>
  <si>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</si>
  <si>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</si>
  <si>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</si>
  <si>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</si>
  <si>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</si>
  <si>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</si>
  <si>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</si>
  <si>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</si>
  <si>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</si>
  <si>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</si>
  <si>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</si>
  <si>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</si>
  <si>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</si>
  <si>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</si>
  <si>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</si>
  <si>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</si>
  <si>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</si>
  <si>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</si>
  <si>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</si>
  <si>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</si>
  <si>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</si>
  <si>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</si>
  <si>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</si>
  <si>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</si>
  <si>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</si>
  <si>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</si>
  <si>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</si>
  <si>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</si>
  <si>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</si>
  <si>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</si>
  <si>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</si>
  <si>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</si>
  <si>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</si>
  <si>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</si>
  <si>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</si>
  <si>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</si>
  <si>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</si>
  <si>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</si>
  <si>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</si>
  <si>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</si>
  <si>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</si>
  <si>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</si>
  <si>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</si>
  <si>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</si>
  <si>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</si>
  <si>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</si>
  <si>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</si>
  <si>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</si>
  <si>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</si>
  <si>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</si>
  <si>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</si>
  <si>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</si>
  <si>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</si>
  <si>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</si>
  <si>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</si>
  <si>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</si>
  <si>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</si>
  <si>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</si>
  <si>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</si>
  <si>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</si>
  <si>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</si>
  <si>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</si>
  <si>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</si>
  <si>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</si>
  <si>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</si>
  <si>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</si>
  <si>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</si>
  <si>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</si>
  <si>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</si>
  <si>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</si>
  <si>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</si>
  <si>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</si>
  <si>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</si>
  <si>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</si>
  <si>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</si>
  <si>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</si>
  <si>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</si>
  <si>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</si>
  <si>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</si>
  <si>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</si>
  <si>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</si>
  <si>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</si>
  <si>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</si>
  <si>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</si>
  <si>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</si>
  <si>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</si>
  <si>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</si>
  <si>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</si>
  <si>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</si>
  <si>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</si>
  <si>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</si>
  <si>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</si>
  <si>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</si>
  <si>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</si>
  <si>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</si>
  <si>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</si>
  <si>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</si>
  <si>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</si>
  <si>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</si>
  <si>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</si>
  <si>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</si>
  <si>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</si>
  <si>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</si>
  <si>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</si>
  <si>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</si>
  <si>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</si>
  <si>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</si>
  <si>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</si>
  <si>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</si>
  <si>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</si>
  <si>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</si>
  <si>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</si>
  <si>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</si>
  <si>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</si>
  <si>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</si>
  <si>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</si>
  <si>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</si>
  <si>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</si>
  <si>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</si>
  <si>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</si>
  <si>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</si>
  <si>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</si>
  <si>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</si>
  <si>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</si>
  <si>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</si>
  <si>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</si>
  <si>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</si>
  <si>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</si>
  <si>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</si>
  <si>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</si>
  <si>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</si>
  <si>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</si>
  <si>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</si>
  <si>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</si>
  <si>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</si>
  <si>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</si>
  <si>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</si>
  <si>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</si>
  <si>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</si>
  <si>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</si>
  <si>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</si>
  <si>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</si>
  <si>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</si>
  <si>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</si>
  <si>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</si>
  <si>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</si>
  <si>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</si>
  <si>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</si>
  <si>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</si>
  <si>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</si>
  <si>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</si>
  <si>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</si>
  <si>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</si>
  <si>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</si>
  <si>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</si>
  <si>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</si>
  <si>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</si>
  <si>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</si>
  <si>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</si>
  <si>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</si>
  <si>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</si>
  <si>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</si>
  <si>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</si>
  <si>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</si>
  <si>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</si>
  <si>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</si>
  <si>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</si>
  <si>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</si>
  <si>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</si>
  <si>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</si>
  <si>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</si>
  <si>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</si>
  <si>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</si>
  <si>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</si>
  <si>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</si>
  <si>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</si>
  <si>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</si>
  <si>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</si>
  <si>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</si>
  <si>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</si>
  <si>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</si>
  <si>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</si>
  <si>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</si>
  <si>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</si>
  <si>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</si>
  <si>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</si>
  <si>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</si>
  <si>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</si>
  <si>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</si>
  <si>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</si>
  <si>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</si>
  <si>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</si>
  <si>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</si>
  <si>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</si>
  <si>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</si>
  <si>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</si>
  <si>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</si>
  <si>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</si>
  <si>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</si>
  <si>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</si>
  <si>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</si>
  <si>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</si>
  <si>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</si>
  <si>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</si>
  <si>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</si>
  <si>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</si>
  <si>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</si>
  <si>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</si>
  <si>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</si>
  <si>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</si>
  <si>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</si>
  <si>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</si>
  <si>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</si>
  <si>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</si>
  <si>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</si>
  <si>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</si>
  <si>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</si>
  <si>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</si>
  <si>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</si>
  <si>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</si>
  <si>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</si>
  <si>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</si>
  <si>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</si>
  <si>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</si>
  <si>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</si>
  <si>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</si>
  <si>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</si>
  <si>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</si>
  <si>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</si>
  <si>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</si>
  <si>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</si>
  <si>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</si>
  <si>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</si>
  <si>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</si>
  <si>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</si>
  <si>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</si>
  <si>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</si>
  <si>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</si>
  <si>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</si>
  <si>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</si>
  <si>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</si>
  <si>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</si>
  <si>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</si>
  <si>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</si>
  <si>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</si>
  <si>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</si>
  <si>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</si>
  <si>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</si>
  <si>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</si>
  <si>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</si>
  <si>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</si>
  <si>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</si>
  <si>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</si>
  <si>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</si>
  <si>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</si>
  <si>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</si>
  <si>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</si>
  <si>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</si>
  <si>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</si>
  <si>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</si>
  <si>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</si>
  <si>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</si>
  <si>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</si>
  <si>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</si>
  <si>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</si>
  <si>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</si>
  <si>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</si>
  <si>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</si>
  <si>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</si>
  <si>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</si>
  <si>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</si>
  <si>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</si>
  <si>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</si>
  <si>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</si>
  <si>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</si>
  <si>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</si>
  <si>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</si>
  <si>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</si>
  <si>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</si>
  <si>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</si>
  <si>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</si>
  <si>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</si>
  <si>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</si>
  <si>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</si>
  <si>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</si>
  <si>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</si>
  <si>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</si>
  <si>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</si>
  <si>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</si>
  <si>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</si>
  <si>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</si>
  <si>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</si>
  <si>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</si>
  <si>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</si>
  <si>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</si>
  <si>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</si>
  <si>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</si>
  <si>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</si>
  <si>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</si>
  <si>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</si>
  <si>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</si>
  <si>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</si>
  <si>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</si>
  <si>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</si>
  <si>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</si>
  <si>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</si>
  <si>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</si>
  <si>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</si>
  <si>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</si>
  <si>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</si>
  <si>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</si>
  <si>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</si>
  <si>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</si>
  <si>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</si>
  <si>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</si>
  <si>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</si>
  <si>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</si>
  <si>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</si>
  <si>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</si>
  <si>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</si>
  <si>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</si>
  <si>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</si>
  <si>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</si>
  <si>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</si>
  <si>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</si>
  <si>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</si>
  <si>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</si>
  <si>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</si>
  <si>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</si>
  <si>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</si>
  <si>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</si>
  <si>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</si>
  <si>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</si>
  <si>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</si>
  <si>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</si>
  <si>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</si>
  <si>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</si>
  <si>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</si>
  <si>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</si>
  <si>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</si>
  <si>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</si>
  <si>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</si>
  <si>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</si>
  <si>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</si>
  <si>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</si>
  <si>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</si>
  <si>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</si>
  <si>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</si>
  <si>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</si>
  <si>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</si>
  <si>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</si>
  <si>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</si>
  <si>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</si>
  <si>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</si>
  <si>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</si>
  <si>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</si>
  <si>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</si>
  <si>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</si>
  <si>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</si>
  <si>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</si>
  <si>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</si>
  <si>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</si>
  <si>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</si>
  <si>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</si>
  <si>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</si>
  <si>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</si>
  <si>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</si>
  <si>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</si>
  <si>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</si>
  <si>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</si>
  <si>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</si>
  <si>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</si>
  <si>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</si>
  <si>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</si>
  <si>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</si>
  <si>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</si>
  <si>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</si>
  <si>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</si>
  <si>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</si>
  <si>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</si>
  <si>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</si>
  <si>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</si>
  <si>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</si>
  <si>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</si>
  <si>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</si>
  <si>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</si>
  <si>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</si>
  <si>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</si>
  <si>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</si>
  <si>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</si>
  <si>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</si>
  <si>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</si>
  <si>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</si>
  <si>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</si>
  <si>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</si>
  <si>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</si>
  <si>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</si>
  <si>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</si>
  <si>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</si>
  <si>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</si>
  <si>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</si>
  <si>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</si>
  <si>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</si>
  <si>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</si>
  <si>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</si>
  <si>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</si>
  <si>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</si>
  <si>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</si>
  <si>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</si>
  <si>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</si>
  <si>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</si>
  <si>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</si>
  <si>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</si>
  <si>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</si>
  <si>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</si>
  <si>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</si>
  <si>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</si>
  <si>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</si>
  <si>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</si>
  <si>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</si>
  <si>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</si>
  <si>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</si>
  <si>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</si>
  <si>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</si>
  <si>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</si>
  <si>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</si>
  <si>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</si>
  <si>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</si>
  <si>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</si>
  <si>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</si>
  <si>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</si>
  <si>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</si>
  <si>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</si>
  <si>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</si>
  <si>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</si>
  <si>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</si>
  <si>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</si>
  <si>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</si>
  <si>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</si>
  <si>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</si>
  <si>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</si>
  <si>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</si>
  <si>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</si>
  <si>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</si>
  <si>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</si>
  <si>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</si>
  <si>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</si>
  <si>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</si>
  <si>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</si>
  <si>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</si>
  <si>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</si>
  <si>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</si>
  <si>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</si>
  <si>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</si>
  <si>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</si>
  <si>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</si>
  <si>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</si>
  <si>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</si>
  <si>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</si>
  <si>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</si>
  <si>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</si>
  <si>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</si>
  <si>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</si>
  <si>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</si>
  <si>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</si>
  <si>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</si>
  <si>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</si>
  <si>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</si>
  <si>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</si>
  <si>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</si>
  <si>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</si>
  <si>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</si>
  <si>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</si>
  <si>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</si>
  <si>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</si>
  <si>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</si>
  <si>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</si>
  <si>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</si>
  <si>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</si>
  <si>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</si>
  <si>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</si>
  <si>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</si>
  <si>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</si>
  <si>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</si>
  <si>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</si>
  <si>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</si>
  <si>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</si>
  <si>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</si>
  <si>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</si>
  <si>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</si>
  <si>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</si>
  <si>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</si>
  <si>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</si>
  <si>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</si>
  <si>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</si>
  <si>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</si>
  <si>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</si>
  <si>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</si>
  <si>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</si>
  <si>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</si>
  <si>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</si>
  <si>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</si>
  <si>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</si>
  <si>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</si>
  <si>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</si>
  <si>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</si>
  <si>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</si>
  <si>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</si>
  <si>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</si>
  <si>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</si>
  <si>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</si>
  <si>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</si>
  <si>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</si>
  <si>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</si>
  <si>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</si>
  <si>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</si>
  <si>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</si>
  <si>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</si>
  <si>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</si>
  <si>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</si>
  <si>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</si>
  <si>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</si>
  <si>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</si>
  <si>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</si>
  <si>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</si>
  <si>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</si>
  <si>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</si>
  <si>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</si>
  <si>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</si>
  <si>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</si>
  <si>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</si>
  <si>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</si>
  <si>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</si>
  <si>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</si>
  <si>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</si>
  <si>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</si>
  <si>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</si>
  <si>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</si>
  <si>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</si>
  <si>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</si>
  <si>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</si>
  <si>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</si>
  <si>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</si>
  <si>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</si>
  <si>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</si>
  <si>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</si>
  <si>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</si>
  <si>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</si>
  <si>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</si>
  <si>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</si>
  <si>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</si>
  <si>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</si>
  <si>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</si>
  <si>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</si>
  <si>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</si>
  <si>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</si>
  <si>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</si>
  <si>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</si>
  <si>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</si>
  <si>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</si>
  <si>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</si>
  <si>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</si>
  <si>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</si>
  <si>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</si>
  <si>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</si>
  <si>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</si>
  <si>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</si>
  <si>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</si>
  <si>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</si>
  <si>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</si>
  <si>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</si>
  <si>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</si>
  <si>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</si>
  <si>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</si>
  <si>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</si>
  <si>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</si>
  <si>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</si>
  <si>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</si>
  <si>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</si>
  <si>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</si>
  <si>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</si>
  <si>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</si>
  <si>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</si>
  <si>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</si>
  <si>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</si>
  <si>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</si>
  <si>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</si>
  <si>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</si>
  <si>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</si>
  <si>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</si>
  <si>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</si>
  <si>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</si>
  <si>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</si>
  <si>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</si>
  <si>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</si>
  <si>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</si>
  <si>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</si>
  <si>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</si>
  <si>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</si>
  <si>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</si>
  <si>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</si>
  <si>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</si>
  <si>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</si>
  <si>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</si>
  <si>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</si>
  <si>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</si>
  <si>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</si>
  <si>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</si>
  <si>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</si>
  <si>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</si>
  <si>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</si>
  <si>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</si>
  <si>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</si>
  <si>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</si>
  <si>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</si>
  <si>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</si>
  <si>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</si>
  <si>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</si>
  <si>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</si>
  <si>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</si>
  <si>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</si>
  <si>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</si>
  <si>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</si>
  <si>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</si>
  <si>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</si>
  <si>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</si>
  <si>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</si>
  <si>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</si>
  <si>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</si>
  <si>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</si>
  <si>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</si>
  <si>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</si>
  <si>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</si>
  <si>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</si>
  <si>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</si>
  <si>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</si>
  <si>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</si>
  <si>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</si>
  <si>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</si>
  <si>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</si>
  <si>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</si>
  <si>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</si>
  <si>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</si>
  <si>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</si>
  <si>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</si>
  <si>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</si>
  <si>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</si>
  <si>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</si>
  <si>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</si>
  <si>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</si>
  <si>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</si>
  <si>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</si>
  <si>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</si>
  <si>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</si>
  <si>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</si>
  <si>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</si>
  <si>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</si>
  <si>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</si>
  <si>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</si>
  <si>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</si>
  <si>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</si>
  <si>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</si>
  <si>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</si>
  <si>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</si>
  <si>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</si>
  <si>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</si>
  <si>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</si>
  <si>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</si>
  <si>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</si>
  <si>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</si>
  <si>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</si>
  <si>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</si>
  <si>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</si>
  <si>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</si>
  <si>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</si>
  <si>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</si>
  <si>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</si>
  <si>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</si>
  <si>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</si>
  <si>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</si>
  <si>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</si>
  <si>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</si>
  <si>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</si>
  <si>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</si>
  <si>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</si>
  <si>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</si>
  <si>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</si>
  <si>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</si>
  <si>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</si>
  <si>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</si>
  <si>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</si>
  <si>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</si>
  <si>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</si>
  <si>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</si>
  <si>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</si>
  <si>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</si>
  <si>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</si>
  <si>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</si>
  <si>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</si>
  <si>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</si>
  <si>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</si>
  <si>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</si>
  <si>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</si>
  <si>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</si>
  <si>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</si>
  <si>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</si>
  <si>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</si>
  <si>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</si>
  <si>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</si>
  <si>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</si>
  <si>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</si>
  <si>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</si>
  <si>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</si>
  <si>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</si>
  <si>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</si>
  <si>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</si>
  <si>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</si>
  <si>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</si>
  <si>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</si>
  <si>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</si>
  <si>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</si>
  <si>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</si>
  <si>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</si>
  <si>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</si>
  <si>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</si>
  <si>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</si>
  <si>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</si>
  <si>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</si>
  <si>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</si>
  <si>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</si>
  <si>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</si>
  <si>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</si>
  <si>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</si>
  <si>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</si>
  <si>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</si>
  <si>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</si>
  <si>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</si>
  <si>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</si>
  <si>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</si>
  <si>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</si>
  <si>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</si>
  <si>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</si>
  <si>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</si>
  <si>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</si>
  <si>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</si>
  <si>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</si>
  <si>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</si>
  <si>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</si>
  <si>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</si>
  <si>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</si>
  <si>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</si>
  <si>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</si>
  <si>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</si>
  <si>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</si>
  <si>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</si>
  <si>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</si>
  <si>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</si>
  <si>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</si>
  <si>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</si>
  <si>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</si>
  <si>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</si>
  <si>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</si>
  <si>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</si>
  <si>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</si>
  <si>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</si>
  <si>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</si>
  <si>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</si>
  <si>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</si>
  <si>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</si>
  <si>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</si>
  <si>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</si>
  <si>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</si>
  <si>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</si>
  <si>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</si>
  <si>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</si>
  <si>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</si>
  <si>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</si>
  <si>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</si>
  <si>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</si>
  <si>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</si>
  <si>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</si>
  <si>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</si>
  <si>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</si>
  <si>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</si>
  <si>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</si>
  <si>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</si>
  <si>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</si>
  <si>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</si>
  <si>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</si>
  <si>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</si>
  <si>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</si>
  <si>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</si>
  <si>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</si>
  <si>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</si>
  <si>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</si>
  <si>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</si>
  <si>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</si>
  <si>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</si>
  <si>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</si>
  <si>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</si>
  <si>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</si>
  <si>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</si>
  <si>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</si>
  <si>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</si>
  <si>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</si>
  <si>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</si>
  <si>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</si>
  <si>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</si>
  <si>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</si>
  <si>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</si>
  <si>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</si>
  <si>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</si>
  <si>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</si>
  <si>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</si>
  <si>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</si>
  <si>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</si>
  <si>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</si>
  <si>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</si>
  <si>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</si>
  <si>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</si>
  <si>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</si>
  <si>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</si>
  <si>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</si>
  <si>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</si>
  <si>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</si>
  <si>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</si>
  <si>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</si>
  <si>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</si>
  <si>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</si>
  <si>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</si>
  <si>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</si>
  <si>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</si>
  <si>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</si>
  <si>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</si>
  <si>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</si>
  <si>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</si>
  <si>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</si>
  <si>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</si>
  <si>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</si>
  <si>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</si>
  <si>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</si>
  <si>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</si>
  <si>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</si>
  <si>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</si>
  <si>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</si>
  <si>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</si>
  <si>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</si>
  <si>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</si>
  <si>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</si>
  <si>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</si>
  <si>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</si>
  <si>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</si>
  <si>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</si>
  <si>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</si>
  <si>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</si>
  <si>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</si>
  <si>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</si>
  <si>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</si>
  <si>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</si>
  <si>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</si>
  <si>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</si>
  <si>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</si>
  <si>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</si>
  <si>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</si>
  <si>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</si>
  <si>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</si>
  <si>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</si>
  <si>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</si>
  <si>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</si>
  <si>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</si>
  <si>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</si>
  <si>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</si>
  <si>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</si>
  <si>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</si>
  <si>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</si>
  <si>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</si>
  <si>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</si>
  <si>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</si>
  <si>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</si>
  <si>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</si>
  <si>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</si>
  <si>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</si>
  <si>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</si>
  <si>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</si>
  <si>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</si>
  <si>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</si>
  <si>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</si>
  <si>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</si>
  <si>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</si>
  <si>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</si>
  <si>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</si>
  <si>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</si>
  <si>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</si>
  <si>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</si>
  <si>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</si>
  <si>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</si>
  <si>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</si>
  <si>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</si>
  <si>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</si>
  <si>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</si>
  <si>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</si>
  <si>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</si>
  <si>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</si>
  <si>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</si>
  <si>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</si>
  <si>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</si>
  <si>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</si>
  <si>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</si>
  <si>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</si>
  <si>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</si>
  <si>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</si>
  <si>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</si>
  <si>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</si>
  <si>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</si>
  <si>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</si>
  <si>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</si>
  <si>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</si>
  <si>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</si>
  <si>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</si>
  <si>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</si>
  <si>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</si>
  <si>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</si>
  <si>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</si>
  <si>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</si>
  <si>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</si>
  <si>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</si>
  <si>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</si>
  <si>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</si>
  <si>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</si>
  <si>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</si>
  <si>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</si>
  <si>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</si>
  <si>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</si>
  <si>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</si>
  <si>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</si>
  <si>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</si>
  <si>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</si>
  <si>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</si>
  <si>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</si>
  <si>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</si>
  <si>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</si>
  <si>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</si>
  <si>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</si>
  <si>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</si>
  <si>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</si>
  <si>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</si>
  <si>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</si>
  <si>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</si>
  <si>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</si>
  <si>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</si>
  <si>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</si>
  <si>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</si>
  <si>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</si>
  <si>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</si>
  <si>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</si>
  <si>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</si>
  <si>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</si>
  <si>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</si>
  <si>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</si>
  <si>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</si>
  <si>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</si>
  <si>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</si>
  <si>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</si>
  <si>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</si>
  <si>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</si>
  <si>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</si>
  <si>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</si>
  <si>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</si>
  <si>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</si>
  <si>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</si>
  <si>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</si>
  <si>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</si>
  <si>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</si>
  <si>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</si>
  <si>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</si>
  <si>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</si>
  <si>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</si>
  <si>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</si>
  <si>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</si>
  <si>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</si>
  <si>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</si>
  <si>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</si>
  <si>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</si>
  <si>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</si>
  <si>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</si>
  <si>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</si>
  <si>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</si>
  <si>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</si>
  <si>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</si>
  <si>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</si>
  <si>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</si>
  <si>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</si>
  <si>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</si>
  <si>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</si>
  <si>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</si>
  <si>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</si>
  <si>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</si>
  <si>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</si>
  <si>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</si>
  <si>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</si>
  <si>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</si>
  <si>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</si>
  <si>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</si>
  <si>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</si>
  <si>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</si>
  <si>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</si>
  <si>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</si>
  <si>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</si>
  <si>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</si>
  <si>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</si>
  <si>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</si>
  <si>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</si>
  <si>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</si>
  <si>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</si>
  <si>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</si>
  <si>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</si>
  <si>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</si>
  <si>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</si>
  <si>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</si>
  <si>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</si>
  <si>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</si>
  <si>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</si>
  <si>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</si>
  <si>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</si>
  <si>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</si>
  <si>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</si>
  <si>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</si>
  <si>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</si>
  <si>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</si>
  <si>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</si>
  <si>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</si>
  <si>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</si>
  <si>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</si>
  <si>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</si>
  <si>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</si>
  <si>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</si>
  <si>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</si>
  <si>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</si>
  <si>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</si>
  <si>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</si>
  <si>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</si>
  <si>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</si>
  <si>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</si>
  <si>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</si>
  <si>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</si>
  <si>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</si>
  <si>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</si>
  <si>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</si>
  <si>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</si>
  <si>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</si>
  <si>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</si>
  <si>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</si>
  <si>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</si>
  <si>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</si>
  <si>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</si>
  <si>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</si>
  <si>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</si>
  <si>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</si>
  <si>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</si>
  <si>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</si>
  <si>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</si>
  <si>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</si>
  <si>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</si>
  <si>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</si>
  <si>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</si>
  <si>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</si>
  <si>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</si>
  <si>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</si>
  <si>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</si>
  <si>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</si>
  <si>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</si>
  <si>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</si>
  <si>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</si>
  <si>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</si>
  <si>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</si>
  <si>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</si>
  <si>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</si>
  <si>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</si>
  <si>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</si>
  <si>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</si>
  <si>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</si>
  <si>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</si>
  <si>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</si>
  <si>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</si>
  <si>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</si>
  <si>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</si>
  <si>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</si>
  <si>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</si>
  <si>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</si>
  <si>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</si>
  <si>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</si>
  <si>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</si>
  <si>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</si>
  <si>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</si>
  <si>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</si>
  <si>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</si>
  <si>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</si>
  <si>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</si>
  <si>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</si>
  <si>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</si>
  <si>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</si>
  <si>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</si>
  <si>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</si>
  <si>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</si>
  <si>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</si>
  <si>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</si>
  <si>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</si>
  <si>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</si>
  <si>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</si>
  <si>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</si>
  <si>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</si>
  <si>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</si>
  <si>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</si>
  <si>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</si>
  <si>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</si>
  <si>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</si>
  <si>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</si>
  <si>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</si>
  <si>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</si>
  <si>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</si>
  <si>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</si>
  <si>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</si>
  <si>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</si>
  <si>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</si>
  <si>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</si>
  <si>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</si>
  <si>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</si>
  <si>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</si>
  <si>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</si>
  <si>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</si>
  <si>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</si>
  <si>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</si>
  <si>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</si>
  <si>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</si>
  <si>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</si>
  <si>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</si>
  <si>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</si>
  <si>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</si>
  <si>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</si>
  <si>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</si>
  <si>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</si>
  <si>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</si>
  <si>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</si>
  <si>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</si>
  <si>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</si>
  <si>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</si>
  <si>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</si>
  <si>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</si>
  <si>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</si>
  <si>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</si>
  <si>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</si>
  <si>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</si>
  <si>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</si>
  <si>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</si>
  <si>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</si>
  <si>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</si>
  <si>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</si>
  <si>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</si>
  <si>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</si>
  <si>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</si>
  <si>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</si>
  <si>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</si>
  <si>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</si>
  <si>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</si>
  <si>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</si>
  <si>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</si>
  <si>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</si>
  <si>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</si>
  <si>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</si>
  <si>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</si>
  <si>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</si>
  <si>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</si>
  <si>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</si>
  <si>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</si>
  <si>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</si>
  <si>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</si>
  <si>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</si>
  <si>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</si>
  <si>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</si>
  <si>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</si>
  <si>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</si>
  <si>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</si>
  <si>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</si>
  <si>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</si>
  <si>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</si>
  <si>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</si>
  <si>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</si>
  <si>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</si>
  <si>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</si>
  <si>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</si>
  <si>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</si>
  <si>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</si>
  <si>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</si>
  <si>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</si>
  <si>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</si>
  <si>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</si>
  <si>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</si>
  <si>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</si>
  <si>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</si>
  <si>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</si>
  <si>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</si>
  <si>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</si>
  <si>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</si>
  <si>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</si>
  <si>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</si>
  <si>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</si>
  <si>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</si>
  <si>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</si>
  <si>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</si>
  <si>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</si>
  <si>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</si>
  <si>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</si>
  <si>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</si>
  <si>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</si>
  <si>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</si>
  <si>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</si>
  <si>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</si>
  <si>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</si>
  <si>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</si>
  <si>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</si>
  <si>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</si>
  <si>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</si>
  <si>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</si>
  <si>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</si>
  <si>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</si>
  <si>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</si>
  <si>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</si>
  <si>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</si>
  <si>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</si>
  <si>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</si>
  <si>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</si>
  <si>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</si>
  <si>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</si>
  <si>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</si>
  <si>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</si>
  <si>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</si>
  <si>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</si>
  <si>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</si>
  <si>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</si>
  <si>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</si>
  <si>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</si>
  <si>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</si>
  <si>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</si>
  <si>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</si>
  <si>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</si>
  <si>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</si>
  <si>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</si>
  <si>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</si>
  <si>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</si>
  <si>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</si>
  <si>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</si>
  <si>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</si>
  <si>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</si>
  <si>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</si>
  <si>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</si>
  <si>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</si>
  <si>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</si>
  <si>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</si>
  <si>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</si>
  <si>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</si>
  <si>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</si>
  <si>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</si>
  <si>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</si>
  <si>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</si>
  <si>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</si>
  <si>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</si>
  <si>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</si>
  <si>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</si>
  <si>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</si>
  <si>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</si>
  <si>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</si>
  <si>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</si>
  <si>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</si>
  <si>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</si>
  <si>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</si>
  <si>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</si>
  <si>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</si>
  <si>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</si>
  <si>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</si>
  <si>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</si>
  <si>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</si>
  <si>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</si>
  <si>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</si>
  <si>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</si>
  <si>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</si>
  <si>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</si>
  <si>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</si>
  <si>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</si>
  <si>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</si>
  <si>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</si>
  <si>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</si>
  <si>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</si>
  <si>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</si>
  <si>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</si>
  <si>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</si>
  <si>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</si>
  <si>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</si>
  <si>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</si>
  <si>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</si>
  <si>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</si>
  <si>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</si>
  <si>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</si>
  <si>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</si>
  <si>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</si>
  <si>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</si>
  <si>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</si>
  <si>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</si>
  <si>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</si>
  <si>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</si>
  <si>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</si>
  <si>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</si>
  <si>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</si>
  <si>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</si>
  <si>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</si>
  <si>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</si>
  <si>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</si>
  <si>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</si>
  <si>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</si>
  <si>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</si>
  <si>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</si>
  <si>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</si>
  <si>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</si>
  <si>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</si>
  <si>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</si>
  <si>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</si>
  <si>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</si>
  <si>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</si>
  <si>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</si>
  <si>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</si>
  <si>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</si>
  <si>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</si>
  <si>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</si>
  <si>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</si>
  <si>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</si>
  <si>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</si>
  <si>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</si>
  <si>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</si>
  <si>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</si>
  <si>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</si>
  <si>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</si>
  <si>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</si>
  <si>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</si>
  <si>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</si>
  <si>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</si>
  <si>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</si>
  <si>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</si>
  <si>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</si>
  <si>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</si>
  <si>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</si>
  <si>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</si>
  <si>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</si>
  <si>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</si>
  <si>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</si>
  <si>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</si>
  <si>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</si>
  <si>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</si>
  <si>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</si>
  <si>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</si>
  <si>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</si>
  <si>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</si>
  <si>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</si>
  <si>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</si>
  <si>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</si>
  <si>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</si>
  <si>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</si>
  <si>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</si>
  <si>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</si>
  <si>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</si>
  <si>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</si>
  <si>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</si>
  <si>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</si>
  <si>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</si>
  <si>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</si>
  <si>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</si>
  <si>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</si>
  <si>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</si>
  <si>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</si>
  <si>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</si>
  <si>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</si>
  <si>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</si>
  <si>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</si>
  <si>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</si>
  <si>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</si>
  <si>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</si>
  <si>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</si>
  <si>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</si>
  <si>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</si>
  <si>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</si>
  <si>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</si>
  <si>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</si>
  <si>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</si>
  <si>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</si>
  <si>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</si>
  <si>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</si>
  <si>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</si>
  <si>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</si>
  <si>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</si>
  <si>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</si>
  <si>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</si>
  <si>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</si>
  <si>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</si>
  <si>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</si>
  <si>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</si>
  <si>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</si>
  <si>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</si>
  <si>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</si>
  <si>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</si>
  <si>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</si>
  <si>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</si>
  <si>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</si>
  <si>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</si>
  <si>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</si>
  <si>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</si>
  <si>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</si>
  <si>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</si>
  <si>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</si>
  <si>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</si>
  <si>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</si>
  <si>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</si>
  <si>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</si>
  <si>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</si>
  <si>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</si>
  <si>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</si>
  <si>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</si>
  <si>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</si>
  <si>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</si>
  <si>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</si>
  <si>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</si>
  <si>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</si>
  <si>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</si>
  <si>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</si>
  <si>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</si>
  <si>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</si>
  <si>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</si>
  <si>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</si>
  <si>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</si>
  <si>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</si>
  <si>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</si>
  <si>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</si>
  <si>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</si>
  <si>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</si>
  <si>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</si>
  <si>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</si>
  <si>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</si>
  <si>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</si>
  <si>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</si>
  <si>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</si>
  <si>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</si>
  <si>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</si>
  <si>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</si>
  <si>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</si>
  <si>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</si>
  <si>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</si>
  <si>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</si>
  <si>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</si>
  <si>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</si>
  <si>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</si>
  <si>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</si>
  <si>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</si>
  <si>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</si>
  <si>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</si>
  <si>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</si>
  <si>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</si>
  <si>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</si>
  <si>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</si>
  <si>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</si>
  <si>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</si>
  <si>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</si>
  <si>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</si>
  <si>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</si>
  <si>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</si>
  <si>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</si>
  <si>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</si>
  <si>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</si>
  <si>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</si>
  <si>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</si>
  <si>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</si>
  <si>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</si>
  <si>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</si>
  <si>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</si>
  <si>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</si>
  <si>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</si>
  <si>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</si>
  <si>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</si>
  <si>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</si>
  <si>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</si>
  <si>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</si>
  <si>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</si>
  <si>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</si>
  <si>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</si>
  <si>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</si>
  <si>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</si>
  <si>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</si>
  <si>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</si>
  <si>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</si>
  <si>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</si>
  <si>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</si>
  <si>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</si>
  <si>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</si>
  <si>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</si>
  <si>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</si>
  <si>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</si>
  <si>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</si>
  <si>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</si>
  <si>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</si>
  <si>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</si>
  <si>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</si>
  <si>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</si>
  <si>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</si>
  <si>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</si>
  <si>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</si>
  <si>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</si>
  <si>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</si>
  <si>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</si>
  <si>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</si>
  <si>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</si>
  <si>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</si>
  <si>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</si>
  <si>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</si>
  <si>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</si>
  <si>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</si>
  <si>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</si>
  <si>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</si>
  <si>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</si>
  <si>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</si>
  <si>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</si>
  <si>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</si>
  <si>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</si>
  <si>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</si>
  <si>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</si>
  <si>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</si>
  <si>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</si>
  <si>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</si>
  <si>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</si>
  <si>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</si>
  <si>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</si>
  <si>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</si>
  <si>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</si>
  <si>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</si>
  <si>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</si>
  <si>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</si>
  <si>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</si>
  <si>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</si>
  <si>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</si>
  <si>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</si>
  <si>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</si>
  <si>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</si>
  <si>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</si>
  <si>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</si>
  <si>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</si>
  <si>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</si>
  <si>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</si>
  <si>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</si>
  <si>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</si>
  <si>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</si>
  <si>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</si>
  <si>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</si>
  <si>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</si>
  <si>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</si>
  <si>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</si>
  <si>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</si>
  <si>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</si>
  <si>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</si>
  <si>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</si>
  <si>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</si>
  <si>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</si>
  <si>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</si>
  <si>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</si>
  <si>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</si>
  <si>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</si>
  <si>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</si>
  <si>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</si>
  <si>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</si>
  <si>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</si>
  <si>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</si>
  <si>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</si>
  <si>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</si>
  <si>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</si>
  <si>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</si>
  <si>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</si>
  <si>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</si>
  <si>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</si>
  <si>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</si>
  <si>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</si>
  <si>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</si>
  <si>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</si>
  <si>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</si>
  <si>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</si>
  <si>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</si>
  <si>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</si>
  <si>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</si>
  <si>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</si>
  <si>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</si>
  <si>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</si>
  <si>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</si>
  <si>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</si>
  <si>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</si>
  <si>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</si>
  <si>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</si>
  <si>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</si>
  <si>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</si>
  <si>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</si>
  <si>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</si>
  <si>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</si>
  <si>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</si>
  <si>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</si>
  <si>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</si>
  <si>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</si>
  <si>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</si>
  <si>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</si>
  <si>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</si>
  <si>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</si>
  <si>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</si>
  <si>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</si>
  <si>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</si>
  <si>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</si>
  <si>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</si>
  <si>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</si>
  <si>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</si>
  <si>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</si>
  <si>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</si>
  <si>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</si>
  <si>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</si>
  <si>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</si>
  <si>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</si>
  <si>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</si>
  <si>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</si>
  <si>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</si>
  <si>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</si>
  <si>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</si>
  <si>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</si>
  <si>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</si>
  <si>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</si>
  <si>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</si>
  <si>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</si>
  <si>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</si>
  <si>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</si>
  <si>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</si>
  <si>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</si>
  <si>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</si>
  <si>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</si>
  <si>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</si>
  <si>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</si>
  <si>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</si>
  <si>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</si>
  <si>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</si>
  <si>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</si>
  <si>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</si>
  <si>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</si>
  <si>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</si>
  <si>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</si>
  <si>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</si>
  <si>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</si>
  <si>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</si>
  <si>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</si>
  <si>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</si>
  <si>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</si>
  <si>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</si>
  <si>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</si>
  <si>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</si>
  <si>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</si>
  <si>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</si>
  <si>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</si>
  <si>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</si>
  <si>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</si>
  <si>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</si>
  <si>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</si>
  <si>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</si>
  <si>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</si>
  <si>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</si>
  <si>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</si>
  <si>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</si>
  <si>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</si>
  <si>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</si>
  <si>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</si>
  <si>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</si>
  <si>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</si>
  <si>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</si>
  <si>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</si>
  <si>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</si>
  <si>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</si>
  <si>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</si>
  <si>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</si>
  <si>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</si>
  <si>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</si>
  <si>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</si>
  <si>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</si>
  <si>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</si>
  <si>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</si>
  <si>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</si>
  <si>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</si>
  <si>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</si>
  <si>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</si>
  <si>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</si>
  <si>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</si>
  <si>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</si>
  <si>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</si>
  <si>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</si>
  <si>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</si>
  <si>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</si>
  <si>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</si>
  <si>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</si>
  <si>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</si>
  <si>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</si>
  <si>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</si>
  <si>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</si>
  <si>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</si>
  <si>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</si>
  <si>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</si>
  <si>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</si>
  <si>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</si>
  <si>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</si>
  <si>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</si>
  <si>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</si>
  <si>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</si>
  <si>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</si>
  <si>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</si>
  <si>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</si>
  <si>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</si>
  <si>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</si>
  <si>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</si>
  <si>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</si>
  <si>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</si>
  <si>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</si>
  <si>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</si>
  <si>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</si>
  <si>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</si>
  <si>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</si>
  <si>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</si>
  <si>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</si>
  <si>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</si>
  <si>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</si>
  <si>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</si>
  <si>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</si>
  <si>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</si>
  <si>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</si>
  <si>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</si>
  <si>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</si>
  <si>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</si>
  <si>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</si>
  <si>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</si>
  <si>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</si>
  <si>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</si>
  <si>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</si>
  <si>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</si>
  <si>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</si>
  <si>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</si>
  <si>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</si>
  <si>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</si>
  <si>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</si>
  <si>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</si>
  <si>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</si>
  <si>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</si>
  <si>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</si>
  <si>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</si>
  <si>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</si>
  <si>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</si>
  <si>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</si>
  <si>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</si>
  <si>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</si>
  <si>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</si>
  <si>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</si>
  <si>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</si>
  <si>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</si>
  <si>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</si>
  <si>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</si>
  <si>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</si>
  <si>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</si>
  <si>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</si>
  <si>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</si>
  <si>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</si>
  <si>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</si>
  <si>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</si>
  <si>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</si>
  <si>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</si>
  <si>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</si>
  <si>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</si>
  <si>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</si>
  <si>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</si>
  <si>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</si>
  <si>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</si>
  <si>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</si>
  <si>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</si>
  <si>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</si>
  <si>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</si>
  <si>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</si>
  <si>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</si>
  <si>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</si>
  <si>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</si>
  <si>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</si>
  <si>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</si>
  <si>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</si>
  <si>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</si>
  <si>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</si>
  <si>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</si>
  <si>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</si>
  <si>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</si>
  <si>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</si>
  <si>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</si>
  <si>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</si>
  <si>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</si>
  <si>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</si>
  <si>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</si>
  <si>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</si>
  <si>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</si>
  <si>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</si>
  <si>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</si>
  <si>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</si>
  <si>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</si>
  <si>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</si>
  <si>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</si>
  <si>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</si>
  <si>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</si>
  <si>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</si>
  <si>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</si>
  <si>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</si>
  <si>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</si>
  <si>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</si>
  <si>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</si>
  <si>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</si>
  <si>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</si>
  <si>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</si>
  <si>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</si>
  <si>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</si>
  <si>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</si>
  <si>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</si>
  <si>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</si>
  <si>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</si>
  <si>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</si>
  <si>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</si>
  <si>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</si>
  <si>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</si>
  <si>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</si>
  <si>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</si>
  <si>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</si>
  <si>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</si>
  <si>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</si>
  <si>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</si>
  <si>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</si>
  <si>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</si>
  <si>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</si>
  <si>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</si>
  <si>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</si>
  <si>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</si>
  <si>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</si>
  <si>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</si>
  <si>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</si>
  <si>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</si>
  <si>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</si>
  <si>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</si>
  <si>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</si>
  <si>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</si>
  <si>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</si>
  <si>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</si>
  <si>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</si>
  <si>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</si>
  <si>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</si>
  <si>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</si>
  <si>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</si>
  <si>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</si>
  <si>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</si>
  <si>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</si>
  <si>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</si>
  <si>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</si>
  <si>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</si>
  <si>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</si>
  <si>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</si>
  <si>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</si>
  <si>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</si>
  <si>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</si>
  <si>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</si>
  <si>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</si>
  <si>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</si>
  <si>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</si>
  <si>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</si>
  <si>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</si>
  <si>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</si>
  <si>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</si>
  <si>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</si>
  <si>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</si>
  <si>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</si>
  <si>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</si>
  <si>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</si>
  <si>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</si>
  <si>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</si>
  <si>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</si>
  <si>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</si>
  <si>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</si>
  <si>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</si>
  <si>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</si>
  <si>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</si>
  <si>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</si>
  <si>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</si>
  <si>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</si>
  <si>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</si>
  <si>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</si>
  <si>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</si>
  <si>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</si>
  <si>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</si>
  <si>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</si>
  <si>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</si>
  <si>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</si>
  <si>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</si>
  <si>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</si>
  <si>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</si>
  <si>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</si>
  <si>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</si>
  <si>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</si>
  <si>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</si>
  <si>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</si>
  <si>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</si>
  <si>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</si>
  <si>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</si>
  <si>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</si>
  <si>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</si>
  <si>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</si>
  <si>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</si>
  <si>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</si>
  <si>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</si>
  <si>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</si>
  <si>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</si>
  <si>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</si>
  <si>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</si>
  <si>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</si>
  <si>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</si>
  <si>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</si>
  <si>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</si>
  <si>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</si>
  <si>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</si>
  <si>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</si>
  <si>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</si>
  <si>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</si>
  <si>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</si>
  <si>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</si>
  <si>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</si>
  <si>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</si>
  <si>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</si>
  <si>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</si>
  <si>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</si>
  <si>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</si>
  <si>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</si>
  <si>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</si>
  <si>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</si>
  <si>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</si>
  <si>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</si>
  <si>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</si>
  <si>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</si>
  <si>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</si>
  <si>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</si>
  <si>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</si>
  <si>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</si>
  <si>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</si>
  <si>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</si>
  <si>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</si>
  <si>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</si>
  <si>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</si>
  <si>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</si>
  <si>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</si>
  <si>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</si>
  <si>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</si>
  <si>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</si>
  <si>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</si>
  <si>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</si>
  <si>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</si>
  <si>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</si>
  <si>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</si>
  <si>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</si>
  <si>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</si>
  <si>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</si>
  <si>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</si>
  <si>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</si>
  <si>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</si>
  <si>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</si>
  <si>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</si>
  <si>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</si>
  <si>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</si>
  <si>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</si>
  <si>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</si>
  <si>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</si>
  <si>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</si>
  <si>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</si>
  <si>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</si>
  <si>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</si>
  <si>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</si>
  <si>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</si>
  <si>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</si>
  <si>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</si>
  <si>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</si>
  <si>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</si>
  <si>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</si>
  <si>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</si>
  <si>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</si>
  <si>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</si>
  <si>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</si>
  <si>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</si>
  <si>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</si>
  <si>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</si>
  <si>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</si>
  <si>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</si>
  <si>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</si>
  <si>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</si>
  <si>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</si>
  <si>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</si>
  <si>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</si>
  <si>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</si>
  <si>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</si>
  <si>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</si>
  <si>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</si>
  <si>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</si>
  <si>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</si>
  <si>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</si>
  <si>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</si>
  <si>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</si>
  <si>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</si>
  <si>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</si>
  <si>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</si>
  <si>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</si>
  <si>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</si>
  <si>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</si>
  <si>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</si>
  <si>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</si>
  <si>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</si>
  <si>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</si>
  <si>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</si>
  <si>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</si>
  <si>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</si>
  <si>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</si>
  <si>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</si>
  <si>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</si>
  <si>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</si>
  <si>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</si>
  <si>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</si>
  <si>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</si>
  <si>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</si>
  <si>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</si>
  <si>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</si>
  <si>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</si>
  <si>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</si>
  <si>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</si>
  <si>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</si>
  <si>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</si>
  <si>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</si>
  <si>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</si>
  <si>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</si>
  <si>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</si>
  <si>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</si>
  <si>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</si>
  <si>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</si>
  <si>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</si>
  <si>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</si>
  <si>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</si>
  <si>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</si>
  <si>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</si>
  <si>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</si>
  <si>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</si>
  <si>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</si>
  <si>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</si>
  <si>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</si>
  <si>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</si>
  <si>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</si>
  <si>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</si>
  <si>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</si>
  <si>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</si>
  <si>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</si>
  <si>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</si>
  <si>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</si>
  <si>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</si>
  <si>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</si>
  <si>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</si>
  <si>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</si>
  <si>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</si>
  <si>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</si>
  <si>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</si>
  <si>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</si>
  <si>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</si>
  <si>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</si>
  <si>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</si>
  <si>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</si>
  <si>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</si>
  <si>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</si>
  <si>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</si>
  <si>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</si>
  <si>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</si>
  <si>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</si>
  <si>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</si>
  <si>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</si>
  <si>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</si>
  <si>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</si>
  <si>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</si>
  <si>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</si>
  <si>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</si>
  <si>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</si>
  <si>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</si>
  <si>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</si>
  <si>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</si>
  <si>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</si>
  <si>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</si>
  <si>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</si>
  <si>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</si>
  <si>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</si>
  <si>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</si>
  <si>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</si>
  <si>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</si>
  <si>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</si>
  <si>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</si>
  <si>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</si>
  <si>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</si>
  <si>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</si>
  <si>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</si>
  <si>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</si>
  <si>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</si>
  <si>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</si>
  <si>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</si>
  <si>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</si>
  <si>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</si>
  <si>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</si>
  <si>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</si>
  <si>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</si>
  <si>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</si>
  <si>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</si>
  <si>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</si>
  <si>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</si>
  <si>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</si>
  <si>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</si>
  <si>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</si>
  <si>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</si>
  <si>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</si>
  <si>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</si>
  <si>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</si>
  <si>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</si>
  <si>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</si>
  <si>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</si>
  <si>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</si>
  <si>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</si>
  <si>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</si>
  <si>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</si>
  <si>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</si>
  <si>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</si>
  <si>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</si>
  <si>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</si>
  <si>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</si>
  <si>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</si>
  <si>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</si>
  <si>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</si>
  <si>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</si>
  <si>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</si>
  <si>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</si>
  <si>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</si>
  <si>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</si>
  <si>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</si>
  <si>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</si>
  <si>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</si>
  <si>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</si>
  <si>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</si>
  <si>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</si>
  <si>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</si>
  <si>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</si>
  <si>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</si>
  <si>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</si>
  <si>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</si>
  <si>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</si>
  <si>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</si>
  <si>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</si>
  <si>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</si>
  <si>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</si>
  <si>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</si>
  <si>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</si>
  <si>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</si>
  <si>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</si>
  <si>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</si>
  <si>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</si>
  <si>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</si>
  <si>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</si>
  <si>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</si>
  <si>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</si>
  <si>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</si>
  <si>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</si>
  <si>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</si>
  <si>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</si>
  <si>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</si>
  <si>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</si>
  <si>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</si>
  <si>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</si>
  <si>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</si>
  <si>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</si>
  <si>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</si>
  <si>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</si>
  <si>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</si>
  <si>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</si>
  <si>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</si>
  <si>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</si>
  <si>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</si>
  <si>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</si>
  <si>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</si>
  <si>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</si>
  <si>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</si>
  <si>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</si>
  <si>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</si>
  <si>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</si>
  <si>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</si>
  <si>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</si>
  <si>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</si>
  <si>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</si>
  <si>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</si>
  <si>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</si>
  <si>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</si>
  <si>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</si>
  <si>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</si>
  <si>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</si>
  <si>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</si>
  <si>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</si>
  <si>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</si>
  <si>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</si>
  <si>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</si>
  <si>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</si>
  <si>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</si>
  <si>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</si>
  <si>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</si>
  <si>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</si>
  <si>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</si>
  <si>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</si>
  <si>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</si>
  <si>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</si>
  <si>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</si>
  <si>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</si>
  <si>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</si>
  <si>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</si>
  <si>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</si>
  <si>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</si>
  <si>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</si>
  <si>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</si>
  <si>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</si>
  <si>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</si>
  <si>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</si>
  <si>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</si>
  <si>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</si>
  <si>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</si>
  <si>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</si>
  <si>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</si>
  <si>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</si>
  <si>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</si>
  <si>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</si>
  <si>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</si>
  <si>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</si>
  <si>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</si>
  <si>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</si>
  <si>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</si>
  <si>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</si>
  <si>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</si>
  <si>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</si>
  <si>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</si>
  <si>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</si>
  <si>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</si>
  <si>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</si>
  <si>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</si>
  <si>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</si>
  <si>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</si>
  <si>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</si>
  <si>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</si>
  <si>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</si>
  <si>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</si>
  <si>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</si>
  <si>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</si>
  <si>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</si>
  <si>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</si>
  <si>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</si>
  <si>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</si>
  <si>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</si>
  <si>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</si>
  <si>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</si>
  <si>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</si>
  <si>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</si>
  <si>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</si>
  <si>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</si>
  <si>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</si>
  <si>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</si>
  <si>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</si>
  <si>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</si>
  <si>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</si>
  <si>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</si>
  <si>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</si>
  <si>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</si>
  <si>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</si>
  <si>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</si>
  <si>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</si>
  <si>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</si>
  <si>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</si>
  <si>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</si>
  <si>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</si>
  <si>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</si>
  <si>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</si>
  <si>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</si>
  <si>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</si>
  <si>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</si>
  <si>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</si>
  <si>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</si>
  <si>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</si>
  <si>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</si>
  <si>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</si>
  <si>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</si>
  <si>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</si>
  <si>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</si>
  <si>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</si>
  <si>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</si>
  <si>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</si>
  <si>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</si>
  <si>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</si>
  <si>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</si>
  <si>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</si>
  <si>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</si>
  <si>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</si>
  <si>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</si>
  <si>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</si>
  <si>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</si>
  <si>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</si>
  <si>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</si>
  <si>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</si>
  <si>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</si>
  <si>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</si>
  <si>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</si>
  <si>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</si>
  <si>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</si>
  <si>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</si>
  <si>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</si>
  <si>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</si>
  <si>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</si>
  <si>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</si>
  <si>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</si>
  <si>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</si>
  <si>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</si>
  <si>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</si>
  <si>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</si>
  <si>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</si>
  <si>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</si>
  <si>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</si>
  <si>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</si>
  <si>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</si>
  <si>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</si>
  <si>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</si>
  <si>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</si>
  <si>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</si>
  <si>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</si>
  <si>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</si>
  <si>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</si>
  <si>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</si>
  <si>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</si>
  <si>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</si>
  <si>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</si>
  <si>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</si>
  <si>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</si>
  <si>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</si>
  <si>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</si>
  <si>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</si>
  <si>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</si>
  <si>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</si>
  <si>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</si>
  <si>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</si>
  <si>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</si>
  <si>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</si>
  <si>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</si>
  <si>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</si>
  <si>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</si>
  <si>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</si>
  <si>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</si>
  <si>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</si>
  <si>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</si>
  <si>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</si>
  <si>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</si>
  <si>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</si>
  <si>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</si>
  <si>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</si>
  <si>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</si>
  <si>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</si>
  <si>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</si>
  <si>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</si>
  <si>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</si>
  <si>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</si>
  <si>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</si>
  <si>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</si>
  <si>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</si>
  <si>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</si>
  <si>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</si>
  <si>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</si>
  <si>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</si>
  <si>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</si>
  <si>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</si>
  <si>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</si>
  <si>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</si>
  <si>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</si>
  <si>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</si>
  <si>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</si>
  <si>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</si>
  <si>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</si>
  <si>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</si>
  <si>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</si>
  <si>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</si>
  <si>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</si>
  <si>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</si>
  <si>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</si>
  <si>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</si>
  <si>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</si>
  <si>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</si>
  <si>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</si>
  <si>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</si>
  <si>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</si>
  <si>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</si>
  <si>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</si>
  <si>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</si>
  <si>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</si>
  <si>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</si>
  <si>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</si>
  <si>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</si>
  <si>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</si>
  <si>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</si>
  <si>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</si>
  <si>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</si>
  <si>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</si>
  <si>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</si>
  <si>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</si>
  <si>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</si>
  <si>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</si>
  <si>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</si>
  <si>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</si>
  <si>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</si>
  <si>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</si>
  <si>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</si>
  <si>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</si>
  <si>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</si>
  <si>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</si>
  <si>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</si>
  <si>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</si>
  <si>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</si>
  <si>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</si>
  <si>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</si>
  <si>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</si>
  <si>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</si>
  <si>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</si>
  <si>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</si>
  <si>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</si>
  <si>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</si>
  <si>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</si>
  <si>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</si>
  <si>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</si>
  <si>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</si>
  <si>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</si>
  <si>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</si>
  <si>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</si>
  <si>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</si>
  <si>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</si>
  <si>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</si>
  <si>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</si>
  <si>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</si>
  <si>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</si>
  <si>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</si>
  <si>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</si>
  <si>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</si>
  <si>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</si>
  <si>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</si>
  <si>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</si>
  <si>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</si>
  <si>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</si>
  <si>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</si>
  <si>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</si>
  <si>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</si>
  <si>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</si>
  <si>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</si>
  <si>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</si>
  <si>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</si>
  <si>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</si>
  <si>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</si>
  <si>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</si>
  <si>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</si>
  <si>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</si>
  <si>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</si>
  <si>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</si>
  <si>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</si>
  <si>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</si>
  <si>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</si>
  <si>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</si>
  <si>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</si>
  <si>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</si>
  <si>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</si>
  <si>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</si>
  <si>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</si>
  <si>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</si>
  <si>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</si>
  <si>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</si>
  <si>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</si>
  <si>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</si>
  <si>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</si>
  <si>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</si>
  <si>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</si>
  <si>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</si>
  <si>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</si>
  <si>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</si>
  <si>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</si>
  <si>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</si>
  <si>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</si>
  <si>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</si>
  <si>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</si>
  <si>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</si>
  <si>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</si>
  <si>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</si>
  <si>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</si>
  <si>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</si>
  <si>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</si>
  <si>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</si>
  <si>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</si>
  <si>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</si>
  <si>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</si>
  <si>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</si>
  <si>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</si>
  <si>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</si>
  <si>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</si>
  <si>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</si>
  <si>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</si>
  <si>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</si>
  <si>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</si>
  <si>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</si>
  <si>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</si>
  <si>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</si>
  <si>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</si>
  <si>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</si>
  <si>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</si>
  <si>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</si>
  <si>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</si>
  <si>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</si>
  <si>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</si>
  <si>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</si>
  <si>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</si>
  <si>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</si>
  <si>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</si>
  <si>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</si>
  <si>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</si>
  <si>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</si>
  <si>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</si>
  <si>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</si>
  <si>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</si>
  <si>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</si>
  <si>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</si>
  <si>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</si>
  <si>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</si>
  <si>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</si>
  <si>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</si>
  <si>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</si>
  <si>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</si>
  <si>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</si>
  <si>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</si>
  <si>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</si>
  <si>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</si>
  <si>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</si>
  <si>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</si>
  <si>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</si>
  <si>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</si>
  <si>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</si>
  <si>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</si>
  <si>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</si>
  <si>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</si>
  <si>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</si>
  <si>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</si>
  <si>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</si>
  <si>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</si>
  <si>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</si>
  <si>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</si>
  <si>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</si>
  <si>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</si>
  <si>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</si>
  <si>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</si>
  <si>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</si>
  <si>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</si>
  <si>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</si>
  <si>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</si>
  <si>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</si>
  <si>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</si>
  <si>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</si>
  <si>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</si>
  <si>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</si>
  <si>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</si>
  <si>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</si>
  <si>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</si>
  <si>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</si>
  <si>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</si>
  <si>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</si>
  <si>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</si>
  <si>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</si>
  <si>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</si>
  <si>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</si>
  <si>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</si>
  <si>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</si>
  <si>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</si>
  <si>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</si>
  <si>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</si>
  <si>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</si>
  <si>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</si>
  <si>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</si>
  <si>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</si>
  <si>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</si>
  <si>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</si>
  <si>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</si>
  <si>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</si>
  <si>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</si>
  <si>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</si>
  <si>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</si>
  <si>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</si>
  <si>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</si>
  <si>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</si>
  <si>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</si>
  <si>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</si>
  <si>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</si>
  <si>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</si>
  <si>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</si>
  <si>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</si>
  <si>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</si>
  <si>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</si>
  <si>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</si>
  <si>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</si>
  <si>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</si>
  <si>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</si>
  <si>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</si>
  <si>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</si>
  <si>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</si>
  <si>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</si>
  <si>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</si>
  <si>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</si>
  <si>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</si>
  <si>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</si>
  <si>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</si>
  <si>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</si>
  <si>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</si>
  <si>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</si>
  <si>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</si>
  <si>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</si>
  <si>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</si>
  <si>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</si>
  <si>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</si>
  <si>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</si>
  <si>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</si>
  <si>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</si>
  <si>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</si>
  <si>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</si>
  <si>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</si>
  <si>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</si>
  <si>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</si>
  <si>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</si>
  <si>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</si>
  <si>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</si>
  <si>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</si>
  <si>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</si>
  <si>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</si>
  <si>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</si>
  <si>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</si>
  <si>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</si>
  <si>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</si>
  <si>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</si>
  <si>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</si>
  <si>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</si>
  <si>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</si>
  <si>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</si>
  <si>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</si>
  <si>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</si>
  <si>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</si>
  <si>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</si>
  <si>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</si>
  <si>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</si>
  <si>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</si>
  <si>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</si>
  <si>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</si>
  <si>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</si>
  <si>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</si>
  <si>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</si>
  <si>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</si>
  <si>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</si>
  <si>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</si>
  <si>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</si>
  <si>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</si>
  <si>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</si>
  <si>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</si>
  <si>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</si>
  <si>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</si>
  <si>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</si>
  <si>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</si>
  <si>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</si>
  <si>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</si>
  <si>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</si>
  <si>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</si>
  <si>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</si>
  <si>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</si>
  <si>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</si>
  <si>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</si>
  <si>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</si>
  <si>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</si>
  <si>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</si>
  <si>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</si>
  <si>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</si>
  <si>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</si>
  <si>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</si>
  <si>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</si>
  <si>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</si>
  <si>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</si>
  <si>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</si>
  <si>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</si>
  <si>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</si>
  <si>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</si>
  <si>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</si>
  <si>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</si>
  <si>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</si>
  <si>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</si>
  <si>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</si>
  <si>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</si>
  <si>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</si>
  <si>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</si>
  <si>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</si>
  <si>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</si>
  <si>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</si>
  <si>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</si>
  <si>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</si>
  <si>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</si>
  <si>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</si>
  <si>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</si>
  <si>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</si>
  <si>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</si>
  <si>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</si>
  <si>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</si>
  <si>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</si>
  <si>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</si>
  <si>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</si>
  <si>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</si>
  <si>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</si>
  <si>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</si>
  <si>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</si>
  <si>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</si>
  <si>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</si>
  <si>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</si>
  <si>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</si>
  <si>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</si>
  <si>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</si>
  <si>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</si>
  <si>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</si>
  <si>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</si>
  <si>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</si>
  <si>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</si>
  <si>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</si>
  <si>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</si>
  <si>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</si>
  <si>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</si>
  <si>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</si>
  <si>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</si>
  <si>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</si>
  <si>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</si>
  <si>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</si>
  <si>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</si>
  <si>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</si>
  <si>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</si>
  <si>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</si>
  <si>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</si>
  <si>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</si>
  <si>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</si>
  <si>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</si>
  <si>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</si>
  <si>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</si>
  <si>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</si>
  <si>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</si>
  <si>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</si>
  <si>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</si>
  <si>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</si>
  <si>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</si>
  <si>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</si>
  <si>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</si>
  <si>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</si>
  <si>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</si>
  <si>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</si>
  <si>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</si>
  <si>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</si>
  <si>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</si>
  <si>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</si>
  <si>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</si>
  <si>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</si>
  <si>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</si>
  <si>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</si>
  <si>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</si>
  <si>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</si>
  <si>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</si>
  <si>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</si>
  <si>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</si>
  <si>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</si>
  <si>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</si>
  <si>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</si>
  <si>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</si>
  <si>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</si>
  <si>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</si>
  <si>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</si>
  <si>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</si>
  <si>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</si>
  <si>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</si>
  <si>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</si>
  <si>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</si>
  <si>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</si>
  <si>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</si>
  <si>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</si>
  <si>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</si>
  <si>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</si>
  <si>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</si>
  <si>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</si>
  <si>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</si>
  <si>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</si>
  <si>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</si>
  <si>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</si>
  <si>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</si>
  <si>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</si>
  <si>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</si>
  <si>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</si>
  <si>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</si>
  <si>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</si>
  <si>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</si>
  <si>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</si>
  <si>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</si>
  <si>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</si>
  <si>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</si>
  <si>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</si>
  <si>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</si>
  <si>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</si>
  <si>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</si>
  <si>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</si>
  <si>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</si>
  <si>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</si>
  <si>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</si>
  <si>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</si>
  <si>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</si>
  <si>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</si>
  <si>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</si>
  <si>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</si>
  <si>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</si>
  <si>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</si>
  <si>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</si>
  <si>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</si>
  <si>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</si>
  <si>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</si>
  <si>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</si>
  <si>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</si>
  <si>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</si>
  <si>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</si>
  <si>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</si>
  <si>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</si>
  <si>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</si>
  <si>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</si>
  <si>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</si>
  <si>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</si>
  <si>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</si>
  <si>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</si>
  <si>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</si>
  <si>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</si>
  <si>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</si>
  <si>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</si>
  <si>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</si>
  <si>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</si>
  <si>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</si>
  <si>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</si>
  <si>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</si>
  <si>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</si>
  <si>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</si>
  <si>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</si>
  <si>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</si>
  <si>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</si>
  <si>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</si>
  <si>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</si>
  <si>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</si>
  <si>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</si>
  <si>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</si>
  <si>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</si>
  <si>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</si>
  <si>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</si>
  <si>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</si>
  <si>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</si>
  <si>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</si>
  <si>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</si>
  <si>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</si>
  <si>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</si>
  <si>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</si>
  <si>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</si>
  <si>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</si>
  <si>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</si>
  <si>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</si>
  <si>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</si>
  <si>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</si>
  <si>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</si>
  <si>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</si>
  <si>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</si>
  <si>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</si>
  <si>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</si>
  <si>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</si>
  <si>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</si>
  <si>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</si>
  <si>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</si>
  <si>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</si>
  <si>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</si>
  <si>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</si>
  <si>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</si>
  <si>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</si>
  <si>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</si>
  <si>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</si>
  <si>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</si>
  <si>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</si>
  <si>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</si>
  <si>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</si>
  <si>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</si>
  <si>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</si>
  <si>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</si>
  <si>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</si>
  <si>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</si>
  <si>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</si>
  <si>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</si>
  <si>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</si>
  <si>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</si>
  <si>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</si>
  <si>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</si>
  <si>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</si>
  <si>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</si>
  <si>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</si>
  <si>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</si>
  <si>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</si>
  <si>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</si>
  <si>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</si>
  <si>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</si>
  <si>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</si>
  <si>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</si>
  <si>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</si>
  <si>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</si>
  <si>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</si>
  <si>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</si>
  <si>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</si>
  <si>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</si>
  <si>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</si>
  <si>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</si>
  <si>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</si>
  <si>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</si>
  <si>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</si>
  <si>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</si>
  <si>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</si>
  <si>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</si>
  <si>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</si>
  <si>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</si>
  <si>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</si>
  <si>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</si>
  <si>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</si>
  <si>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</si>
  <si>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</si>
  <si>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</si>
  <si>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</si>
  <si>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</si>
  <si>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</si>
  <si>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</si>
  <si>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</si>
  <si>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</si>
  <si>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</si>
  <si>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</si>
  <si>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</si>
  <si>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</si>
  <si>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</si>
  <si>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</si>
  <si>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</si>
  <si>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</si>
  <si>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</si>
  <si>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</si>
  <si>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</si>
  <si>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</si>
  <si>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</si>
  <si>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</si>
  <si>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</si>
  <si>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</si>
  <si>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</si>
  <si>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</si>
  <si>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</si>
  <si>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</si>
  <si>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</si>
  <si>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</si>
  <si>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</si>
  <si>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</si>
  <si>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</si>
  <si>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</si>
  <si>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</si>
  <si>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</si>
  <si>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</si>
  <si>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</si>
  <si>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</si>
  <si>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</si>
  <si>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</si>
  <si>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</si>
  <si>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</si>
  <si>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</si>
  <si>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</si>
  <si>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</si>
  <si>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</si>
  <si>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</si>
  <si>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</si>
  <si>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</si>
  <si>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</si>
  <si>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</si>
  <si>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</si>
  <si>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</si>
  <si>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</si>
  <si>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</si>
  <si>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</si>
  <si>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</si>
  <si>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</si>
  <si>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</si>
  <si>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</si>
  <si>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</si>
  <si>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</si>
  <si>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</si>
  <si>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</si>
  <si>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</si>
  <si>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</si>
  <si>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</si>
  <si>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</si>
  <si>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</si>
  <si>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</si>
  <si>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</si>
  <si>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</si>
  <si>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</si>
  <si>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</si>
  <si>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</si>
  <si>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</si>
  <si>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</si>
  <si>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</si>
  <si>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</si>
  <si>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</si>
  <si>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</si>
  <si>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</si>
  <si>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</si>
  <si>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</si>
  <si>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</si>
  <si>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</si>
  <si>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</si>
  <si>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</si>
  <si>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</si>
  <si>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</si>
  <si>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</si>
  <si>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</si>
  <si>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</si>
  <si>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</si>
  <si>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</si>
  <si>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</si>
  <si>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</si>
  <si>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</si>
  <si>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</si>
  <si>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</si>
  <si>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</si>
  <si>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</si>
  <si>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</si>
  <si>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</si>
  <si>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</si>
  <si>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</si>
  <si>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</si>
  <si>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</si>
  <si>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</si>
  <si>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</si>
  <si>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</si>
  <si>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</si>
  <si>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</si>
  <si>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</si>
  <si>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</si>
  <si>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</si>
  <si>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</si>
  <si>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</si>
  <si>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</si>
  <si>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</si>
  <si>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</si>
  <si>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</si>
  <si>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</si>
  <si>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</si>
  <si>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</si>
  <si>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</si>
  <si>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</si>
  <si>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</si>
  <si>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</si>
  <si>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</si>
  <si>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</si>
  <si>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</si>
  <si>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</si>
  <si>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</si>
  <si>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</si>
  <si>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</si>
  <si>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</si>
  <si>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</si>
  <si>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</si>
  <si>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</si>
  <si>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</si>
  <si>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</si>
  <si>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</si>
  <si>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</si>
  <si>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</si>
  <si>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</si>
  <si>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</si>
  <si>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</si>
  <si>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</si>
  <si>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</si>
  <si>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</si>
  <si>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</si>
  <si>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</si>
  <si>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</si>
  <si>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</si>
  <si>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</si>
  <si>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</si>
  <si>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</si>
  <si>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</si>
  <si>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</si>
  <si>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</si>
  <si>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</si>
  <si>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</si>
  <si>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</si>
  <si>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</si>
  <si>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</si>
  <si>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</si>
  <si>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</si>
  <si>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</si>
  <si>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</si>
  <si>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</si>
  <si>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</si>
  <si>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</si>
  <si>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</si>
  <si>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</si>
  <si>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</si>
  <si>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</si>
  <si>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</si>
  <si>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</si>
  <si>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</si>
  <si>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</si>
  <si>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</si>
  <si>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</si>
  <si>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</si>
  <si>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</si>
  <si>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</si>
  <si>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</si>
  <si>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</si>
  <si>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</si>
  <si>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</si>
  <si>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</si>
  <si>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</si>
  <si>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</si>
  <si>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</si>
  <si>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</si>
  <si>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</si>
  <si>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</si>
  <si>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</si>
  <si>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</si>
  <si>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</si>
  <si>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</si>
  <si>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</si>
  <si>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</si>
  <si>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</si>
  <si>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</si>
  <si>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</si>
  <si>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</si>
  <si>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</si>
  <si>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</si>
  <si>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</si>
  <si>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</si>
  <si>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</si>
  <si>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</si>
  <si>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</si>
  <si>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</si>
  <si>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</si>
  <si>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</si>
  <si>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</si>
  <si>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</si>
  <si>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</si>
  <si>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</si>
  <si>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</si>
  <si>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</si>
  <si>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</si>
  <si>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</si>
  <si>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</si>
  <si>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</si>
  <si>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</si>
  <si>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</si>
  <si>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</si>
  <si>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</si>
  <si>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</si>
  <si>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</si>
  <si>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</si>
  <si>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</si>
  <si>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</si>
  <si>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</si>
  <si>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</si>
  <si>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</si>
  <si>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</si>
  <si>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</si>
  <si>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</si>
  <si>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</si>
  <si>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</si>
  <si>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</si>
  <si>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</si>
  <si>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</si>
  <si>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</si>
  <si>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</si>
  <si>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</si>
  <si>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</si>
  <si>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</si>
  <si>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</si>
  <si>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</si>
  <si>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</si>
  <si>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</si>
  <si>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</si>
  <si>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</si>
  <si>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</si>
  <si>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</si>
  <si>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</si>
  <si>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</si>
  <si>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</si>
  <si>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</si>
  <si>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</si>
  <si>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</si>
  <si>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</si>
  <si>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</si>
  <si>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</si>
  <si>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</si>
  <si>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</si>
  <si>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</si>
  <si>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</si>
  <si>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</si>
  <si>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</si>
  <si>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</si>
  <si>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</si>
  <si>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</si>
  <si>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</si>
  <si>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</si>
  <si>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</si>
  <si>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</si>
  <si>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</si>
  <si>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</si>
  <si>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</si>
  <si>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</si>
  <si>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</si>
  <si>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</si>
  <si>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</si>
  <si>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</si>
  <si>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</si>
  <si>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</si>
  <si>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</si>
  <si>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</si>
  <si>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</si>
  <si>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</si>
  <si>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</si>
  <si>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</si>
  <si>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</si>
  <si>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</si>
  <si>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</si>
  <si>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</si>
  <si>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</si>
  <si>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</si>
  <si>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</si>
  <si>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</si>
  <si>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</si>
  <si>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</si>
  <si>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</si>
  <si>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</si>
  <si>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</si>
  <si>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</si>
  <si>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</si>
  <si>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</si>
  <si>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</si>
  <si>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</si>
  <si>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</si>
  <si>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</si>
  <si>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</si>
  <si>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</si>
  <si>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</si>
  <si>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</si>
  <si>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</si>
  <si>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</si>
  <si>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</si>
  <si>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</si>
  <si>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</si>
  <si>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</si>
  <si>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</si>
  <si>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</si>
  <si>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</si>
  <si>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</si>
  <si>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</si>
  <si>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</si>
  <si>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</si>
  <si>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</si>
  <si>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</si>
  <si>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</si>
  <si>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</si>
  <si>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</si>
  <si>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</si>
  <si>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</si>
  <si>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</si>
  <si>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</si>
  <si>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</si>
  <si>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</si>
  <si>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</si>
  <si>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</si>
  <si>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</si>
  <si>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</si>
  <si>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</si>
  <si>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</si>
  <si>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</si>
  <si>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</si>
  <si>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</si>
  <si>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</si>
  <si>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</si>
  <si>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</si>
  <si>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</si>
  <si>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</si>
  <si>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</si>
  <si>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</si>
  <si>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</si>
  <si>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</si>
  <si>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</si>
  <si>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</si>
  <si>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</si>
  <si>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</si>
  <si>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</si>
  <si>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</si>
  <si>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</si>
  <si>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</si>
  <si>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</si>
  <si>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</si>
  <si>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</si>
  <si>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</si>
  <si>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</si>
  <si>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</si>
  <si>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</si>
  <si>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</si>
  <si>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</si>
  <si>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</si>
  <si>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</si>
  <si>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</si>
  <si>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</si>
  <si>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</si>
  <si>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</si>
  <si>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</si>
  <si>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</si>
  <si>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</si>
  <si>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</si>
  <si>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</si>
  <si>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</si>
  <si>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</si>
  <si>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</si>
  <si>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</si>
  <si>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</si>
  <si>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</si>
  <si>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</si>
  <si>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</si>
  <si>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</si>
  <si>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</si>
  <si>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</si>
  <si>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</si>
  <si>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</si>
  <si>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</si>
  <si>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</si>
  <si>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</si>
  <si>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</si>
  <si>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</si>
  <si>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</si>
  <si>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</si>
  <si>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</si>
  <si>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</si>
  <si>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</si>
  <si>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</si>
  <si>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</si>
  <si>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</si>
  <si>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</si>
  <si>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</si>
  <si>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</si>
  <si>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</si>
  <si>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</si>
  <si>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</si>
  <si>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</si>
  <si>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</si>
  <si>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</si>
  <si>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</si>
  <si>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</si>
  <si>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</si>
  <si>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</si>
  <si>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</si>
  <si>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</si>
  <si>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</si>
  <si>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</si>
  <si>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</si>
  <si>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</si>
  <si>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</si>
  <si>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</si>
  <si>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</si>
  <si>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</si>
  <si>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</si>
  <si>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</si>
  <si>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</si>
  <si>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</si>
  <si>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</si>
  <si>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</si>
  <si>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</si>
  <si>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</si>
  <si>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</si>
  <si>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</si>
  <si>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</si>
  <si>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</si>
  <si>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</si>
  <si>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</si>
  <si>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</si>
  <si>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</si>
  <si>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</si>
  <si>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</si>
  <si>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</si>
  <si>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</si>
  <si>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</si>
  <si>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</si>
  <si>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</si>
  <si>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</si>
  <si>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</si>
  <si>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</si>
  <si>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</si>
  <si>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</si>
  <si>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</si>
  <si>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</si>
  <si>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</si>
  <si>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</si>
  <si>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</si>
  <si>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</si>
  <si>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</si>
  <si>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</si>
  <si>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</si>
  <si>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</si>
  <si>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</si>
  <si>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</si>
  <si>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</si>
  <si>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</si>
  <si>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</si>
  <si>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</si>
  <si>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</si>
  <si>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</si>
  <si>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</si>
  <si>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</si>
  <si>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</si>
  <si>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</si>
  <si>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</si>
  <si>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</si>
  <si>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</si>
  <si>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</si>
  <si>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</si>
  <si>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</si>
  <si>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</si>
  <si>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</si>
  <si>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</si>
  <si>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</si>
  <si>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</si>
  <si>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</si>
  <si>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</si>
  <si>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</si>
  <si>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</si>
  <si>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</si>
  <si>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</si>
  <si>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</si>
  <si>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</si>
  <si>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</si>
  <si>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</si>
  <si>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</si>
  <si>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</si>
  <si>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</si>
  <si>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</si>
  <si>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</si>
  <si>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</si>
  <si>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</si>
  <si>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</si>
  <si>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</si>
  <si>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</si>
  <si>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</si>
  <si>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</si>
  <si>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</si>
  <si>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</si>
  <si>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</si>
  <si>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</si>
  <si>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</si>
  <si>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</si>
  <si>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</si>
  <si>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</si>
  <si>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</si>
  <si>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</si>
  <si>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</si>
  <si>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</si>
  <si>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</si>
  <si>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</si>
  <si>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</si>
  <si>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</si>
  <si>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</si>
  <si>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</si>
  <si>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</si>
  <si>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</si>
  <si>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</si>
  <si>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</si>
  <si>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</si>
  <si>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</si>
  <si>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</si>
  <si>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</si>
  <si>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</si>
  <si>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</si>
  <si>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</si>
  <si>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</si>
  <si>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</si>
  <si>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</si>
  <si>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</si>
  <si>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</si>
  <si>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</si>
  <si>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</si>
  <si>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</si>
  <si>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</si>
  <si>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</si>
  <si>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</si>
  <si>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</si>
  <si>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</si>
  <si>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</si>
  <si>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</si>
  <si>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</si>
  <si>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</si>
  <si>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</si>
  <si>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</si>
  <si>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</si>
  <si>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</si>
  <si>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</si>
  <si>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</si>
  <si>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</si>
  <si>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</si>
  <si>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</si>
  <si>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</si>
  <si>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</si>
  <si>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</si>
  <si>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</si>
  <si>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</si>
  <si>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</si>
  <si>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</si>
  <si>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</si>
  <si>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</si>
  <si>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</si>
  <si>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</si>
  <si>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</si>
  <si>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</si>
  <si>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</si>
  <si>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</si>
  <si>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</si>
  <si>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</si>
  <si>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</si>
  <si>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</si>
  <si>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</si>
  <si>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</si>
  <si>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</si>
  <si>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</si>
  <si>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</si>
  <si>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</si>
  <si>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</si>
  <si>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</si>
  <si>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</si>
  <si>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</si>
  <si>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</si>
  <si>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</si>
  <si>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</si>
  <si>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</si>
  <si>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</si>
  <si>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</si>
  <si>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</si>
  <si>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</si>
  <si>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</si>
  <si>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</si>
  <si>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</si>
  <si>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</si>
  <si>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</si>
  <si>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</si>
  <si>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</si>
  <si>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</si>
  <si>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</si>
  <si>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</si>
  <si>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</si>
  <si>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</si>
  <si>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</si>
  <si>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</si>
  <si>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</si>
  <si>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</si>
  <si>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</si>
  <si>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</si>
  <si>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</si>
  <si>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</si>
  <si>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</si>
  <si>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</si>
  <si>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</si>
  <si>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</si>
  <si>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</si>
  <si>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</si>
  <si>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</si>
  <si>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</si>
  <si>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</si>
  <si>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</si>
  <si>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</si>
  <si>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</si>
  <si>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</si>
  <si>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</si>
  <si>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</si>
  <si>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</si>
  <si>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</si>
  <si>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</si>
  <si>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</si>
  <si>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</si>
  <si>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</si>
  <si>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</si>
  <si>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</si>
  <si>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</si>
  <si>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</si>
  <si>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</si>
  <si>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</si>
  <si>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</si>
  <si>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</si>
  <si>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</si>
  <si>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</si>
  <si>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</si>
  <si>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</si>
  <si>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</si>
  <si>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</si>
  <si>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</si>
  <si>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</si>
  <si>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</si>
  <si>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</si>
  <si>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</si>
  <si>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</si>
  <si>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</si>
  <si>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</si>
  <si>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</si>
  <si>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</si>
  <si>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</si>
  <si>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</si>
  <si>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</si>
  <si>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</si>
  <si>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</si>
  <si>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</si>
  <si>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</si>
  <si>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</si>
  <si>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</si>
  <si>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</si>
  <si>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</si>
  <si>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</si>
  <si>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</si>
  <si>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</si>
  <si>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</si>
  <si>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</si>
  <si>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</si>
  <si>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</si>
  <si>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</si>
  <si>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</si>
  <si>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</si>
  <si>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</si>
  <si>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</si>
  <si>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</si>
  <si>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</si>
  <si>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</si>
  <si>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</si>
  <si>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</si>
  <si>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</si>
  <si>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</si>
  <si>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</si>
  <si>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</si>
  <si>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</si>
  <si>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</si>
  <si>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</si>
  <si>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</si>
  <si>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</si>
  <si>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</si>
  <si>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</si>
  <si>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</si>
  <si>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</si>
  <si>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</si>
  <si>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</si>
  <si>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</si>
  <si>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</si>
  <si>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</si>
  <si>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</si>
  <si>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</si>
  <si>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</si>
  <si>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</si>
  <si>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</si>
  <si>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</si>
  <si>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</si>
  <si>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</si>
  <si>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</si>
  <si>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</si>
  <si>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</si>
  <si>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</si>
  <si>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</si>
  <si>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</si>
  <si>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</si>
  <si>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</si>
  <si>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</si>
  <si>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</si>
  <si>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</si>
  <si>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</si>
  <si>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</si>
  <si>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</si>
  <si>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</si>
  <si>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</si>
  <si>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</si>
  <si>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</si>
  <si>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</si>
  <si>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</si>
  <si>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</si>
  <si>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</si>
  <si>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</si>
  <si>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</si>
  <si>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</si>
  <si>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</si>
  <si>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</si>
  <si>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</si>
  <si>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</si>
  <si>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</si>
  <si>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</si>
  <si>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</si>
  <si>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</si>
  <si>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</si>
  <si>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</si>
  <si>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</si>
  <si>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</si>
  <si>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</si>
  <si>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</si>
  <si>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</si>
  <si>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</si>
  <si>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</si>
  <si>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</si>
  <si>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</si>
  <si>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</si>
  <si>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</si>
  <si>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</si>
  <si>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</si>
  <si>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</si>
  <si>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</si>
  <si>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</si>
  <si>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</si>
  <si>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</si>
  <si>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</si>
  <si>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</si>
  <si>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</si>
  <si>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</si>
  <si>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</si>
  <si>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</si>
  <si>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</si>
  <si>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</si>
  <si>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</si>
  <si>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</si>
  <si>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</si>
  <si>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</si>
  <si>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</si>
  <si>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</si>
  <si>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</si>
  <si>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</si>
  <si>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</si>
  <si>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</si>
  <si>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</si>
  <si>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</si>
  <si>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</si>
  <si>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</si>
  <si>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</si>
  <si>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</si>
  <si>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</si>
  <si>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</si>
  <si>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</si>
  <si>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</si>
  <si>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</si>
  <si>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</si>
  <si>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</si>
  <si>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</si>
  <si>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</si>
  <si>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</si>
  <si>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</si>
  <si>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</si>
  <si>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</si>
  <si>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</si>
  <si>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</si>
  <si>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</si>
  <si>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</si>
  <si>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</si>
  <si>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</si>
  <si>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</si>
  <si>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</si>
  <si>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</si>
  <si>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</si>
  <si>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</si>
  <si>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</si>
  <si>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</si>
  <si>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</si>
  <si>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</si>
  <si>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</si>
  <si>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</si>
  <si>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</si>
  <si>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</si>
  <si>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</si>
  <si>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</si>
  <si>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</si>
  <si>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</si>
  <si>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</si>
  <si>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</si>
  <si>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</si>
  <si>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</si>
  <si>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</si>
  <si>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</si>
  <si>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</si>
  <si>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</si>
  <si>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</si>
  <si>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</si>
  <si>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</si>
  <si>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</si>
  <si>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</si>
  <si>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</si>
  <si>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</si>
  <si>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</si>
  <si>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</si>
  <si>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</si>
  <si>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</si>
  <si>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</si>
  <si>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</si>
  <si>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</si>
  <si>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</si>
  <si>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</si>
  <si>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</si>
  <si>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</si>
  <si>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</si>
  <si>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</si>
  <si>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</si>
  <si>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</si>
  <si>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</si>
  <si>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</si>
  <si>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</si>
  <si>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</si>
  <si>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</si>
  <si>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</si>
  <si>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</si>
  <si>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</si>
  <si>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</si>
  <si>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</si>
  <si>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</si>
  <si>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</si>
  <si>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</si>
  <si>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</si>
  <si>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</si>
  <si>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</si>
  <si>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</si>
  <si>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</si>
  <si>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</si>
  <si>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</si>
  <si>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</si>
  <si>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</si>
  <si>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</si>
  <si>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</si>
  <si>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</si>
  <si>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</si>
  <si>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</si>
  <si>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</si>
  <si>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</si>
  <si>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</si>
  <si>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</si>
  <si>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</si>
  <si>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</si>
  <si>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</si>
  <si>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</si>
  <si>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</si>
  <si>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</si>
  <si>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</si>
  <si>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</si>
  <si>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</si>
  <si>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</si>
  <si>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</si>
  <si>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</si>
  <si>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</si>
  <si>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</si>
  <si>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</si>
  <si>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</si>
  <si>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</si>
  <si>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</si>
  <si>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</si>
  <si>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</si>
  <si>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</si>
  <si>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</si>
  <si>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</si>
  <si>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</si>
  <si>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</si>
  <si>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</si>
  <si>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</si>
  <si>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</si>
  <si>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</si>
  <si>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</si>
  <si>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</si>
  <si>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</si>
  <si>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</si>
  <si>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</si>
  <si>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</si>
  <si>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</si>
  <si>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</si>
  <si>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</si>
  <si>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</si>
  <si>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</si>
  <si>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</si>
  <si>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</si>
  <si>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</si>
  <si>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</si>
  <si>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</si>
  <si>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</si>
  <si>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</si>
  <si>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</si>
  <si>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</si>
  <si>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</si>
  <si>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</si>
  <si>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</si>
  <si>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</si>
  <si>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</si>
  <si>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</si>
  <si>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</si>
  <si>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</si>
  <si>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</si>
  <si>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</si>
  <si>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</si>
  <si>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</si>
  <si>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</si>
  <si>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</si>
  <si>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</si>
  <si>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</si>
  <si>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</si>
  <si>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</si>
  <si>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</si>
  <si>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</si>
  <si>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</si>
  <si>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</si>
  <si>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</si>
  <si>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</si>
  <si>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</si>
  <si>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</si>
  <si>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</si>
  <si>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</si>
  <si>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</si>
  <si>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</si>
  <si>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</si>
  <si>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</si>
  <si>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</si>
  <si>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</si>
  <si>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</si>
  <si>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</si>
  <si>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</si>
  <si>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</si>
  <si>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</si>
  <si>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</si>
  <si>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</si>
  <si>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</si>
  <si>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</si>
  <si>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</si>
  <si>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</si>
  <si>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</si>
  <si>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</si>
  <si>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</si>
  <si>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</si>
  <si>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</si>
  <si>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</si>
  <si>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</si>
  <si>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</si>
  <si>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</si>
  <si>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</si>
  <si>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</si>
  <si>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</si>
  <si>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</si>
  <si>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</si>
  <si>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</si>
  <si>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</si>
  <si>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</si>
  <si>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</si>
  <si>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</si>
  <si>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</si>
  <si>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</si>
  <si>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</si>
  <si>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</si>
  <si>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</si>
  <si>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</si>
  <si>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</si>
  <si>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</si>
  <si>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</si>
  <si>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</si>
  <si>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</si>
  <si>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</si>
  <si>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</si>
  <si>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</si>
  <si>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</si>
  <si>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</si>
  <si>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</si>
  <si>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</si>
  <si>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</si>
  <si>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</si>
  <si>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</si>
  <si>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</si>
  <si>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</si>
  <si>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</si>
  <si>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</si>
  <si>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</si>
  <si>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</si>
  <si>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</si>
  <si>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</si>
  <si>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</si>
  <si>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</si>
  <si>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</si>
  <si>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</si>
  <si>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</si>
  <si>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</si>
  <si>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</si>
  <si>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</si>
  <si>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</si>
  <si>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</si>
  <si>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</si>
  <si>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</si>
  <si>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</si>
  <si>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</si>
  <si>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</si>
  <si>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</si>
  <si>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</si>
  <si>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</si>
  <si>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</si>
  <si>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</si>
  <si>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</si>
  <si>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</si>
  <si>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</si>
  <si>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</si>
  <si>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</si>
  <si>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</si>
  <si>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</si>
  <si>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</si>
  <si>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</si>
  <si>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</si>
  <si>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</si>
  <si>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</si>
  <si>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</si>
  <si>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</si>
  <si>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</si>
  <si>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</si>
  <si>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</si>
  <si>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</si>
  <si>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</si>
  <si>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</si>
  <si>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</si>
  <si>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</si>
  <si>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</si>
  <si>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</si>
  <si>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</si>
  <si>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</si>
  <si>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</si>
  <si>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</si>
  <si>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</si>
  <si>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</si>
  <si>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</si>
  <si>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</si>
  <si>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</si>
  <si>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</si>
  <si>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</si>
  <si>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</si>
  <si>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</si>
  <si>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</si>
  <si>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</si>
  <si>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</si>
  <si>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</si>
  <si>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</si>
  <si>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</si>
  <si>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</si>
  <si>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</si>
  <si>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</si>
  <si>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</si>
  <si>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</si>
  <si>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</si>
  <si>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</si>
  <si>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</si>
  <si>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</si>
  <si>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</si>
  <si>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</si>
  <si>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</si>
  <si>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</si>
  <si>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</si>
  <si>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</si>
  <si>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</si>
  <si>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</si>
  <si>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</si>
  <si>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</si>
  <si>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</si>
  <si>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</si>
  <si>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</si>
  <si>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</si>
  <si>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</si>
  <si>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</si>
  <si>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</si>
  <si>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</si>
  <si>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</si>
  <si>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</si>
  <si>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</si>
  <si>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</si>
  <si>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</si>
  <si>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</si>
  <si>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</si>
  <si>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</si>
  <si>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</si>
  <si>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</si>
  <si>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</si>
  <si>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</si>
  <si>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</si>
  <si>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</si>
  <si>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</si>
  <si>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</si>
  <si>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</si>
  <si>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</si>
  <si>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</si>
  <si>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</si>
  <si>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</si>
  <si>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</si>
  <si>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</si>
  <si>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</si>
  <si>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</si>
  <si>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</si>
  <si>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</si>
  <si>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</si>
  <si>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</si>
  <si>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</si>
  <si>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</si>
  <si>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</si>
  <si>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</si>
  <si>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</si>
  <si>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</si>
  <si>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</si>
  <si>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</si>
  <si>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</si>
  <si>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</si>
  <si>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</si>
  <si>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</si>
  <si>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</si>
  <si>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</si>
  <si>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</si>
  <si>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</si>
  <si>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</si>
  <si>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</si>
  <si>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</si>
  <si>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</si>
  <si>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</si>
  <si>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</si>
  <si>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</si>
  <si>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</si>
  <si>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</si>
  <si>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</si>
  <si>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</si>
  <si>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</si>
  <si>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</si>
  <si>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</si>
  <si>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</si>
  <si>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</si>
  <si>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</si>
  <si>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</si>
  <si>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</si>
  <si>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</si>
  <si>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</si>
  <si>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</si>
  <si>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</si>
  <si>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</si>
  <si>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</si>
  <si>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</si>
  <si>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</si>
  <si>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</si>
  <si>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</si>
  <si>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</si>
  <si>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</si>
  <si>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</si>
  <si>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</si>
  <si>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</si>
  <si>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</si>
  <si>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</si>
  <si>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</si>
  <si>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</si>
  <si>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</si>
  <si>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</si>
  <si>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</si>
  <si>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</si>
  <si>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</si>
  <si>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</si>
  <si>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</si>
  <si>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</si>
  <si>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</si>
  <si>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</si>
  <si>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</si>
  <si>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</si>
  <si>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</si>
  <si>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</si>
  <si>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</si>
  <si>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</si>
  <si>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</si>
  <si>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</si>
  <si>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</si>
  <si>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</si>
  <si>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</si>
  <si>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</si>
  <si>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</si>
  <si>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</si>
  <si>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</si>
  <si>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</si>
  <si>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</si>
  <si>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</si>
  <si>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</si>
  <si>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</si>
  <si>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</si>
  <si>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</si>
  <si>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</si>
  <si>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</si>
  <si>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</si>
  <si>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</si>
  <si>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</si>
  <si>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</si>
  <si>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</si>
  <si>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</si>
  <si>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</si>
  <si>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</si>
  <si>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</si>
  <si>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</si>
  <si>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</si>
  <si>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</si>
  <si>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</si>
  <si>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</si>
  <si>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</si>
  <si>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</si>
  <si>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</si>
  <si>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</si>
  <si>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</si>
  <si>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</si>
  <si>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</si>
  <si>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</si>
  <si>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</si>
  <si>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</si>
  <si>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</si>
  <si>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</si>
  <si>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</si>
  <si>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</si>
  <si>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</si>
  <si>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</si>
  <si>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</si>
  <si>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</si>
  <si>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</si>
  <si>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</si>
  <si>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</si>
  <si>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</si>
  <si>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</si>
  <si>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</si>
  <si>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</si>
  <si>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</si>
  <si>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</si>
  <si>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</si>
  <si>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</si>
  <si>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</si>
  <si>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</si>
  <si>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</si>
  <si>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</si>
  <si>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</si>
  <si>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</si>
  <si>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</si>
  <si>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</si>
  <si>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</si>
  <si>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</si>
  <si>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</si>
  <si>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</si>
  <si>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</si>
  <si>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</si>
  <si>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</si>
  <si>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</si>
  <si>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</si>
  <si>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</si>
  <si>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</si>
  <si>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</si>
  <si>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</si>
  <si>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</si>
  <si>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</si>
  <si>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</si>
  <si>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</si>
  <si>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</si>
  <si>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</si>
  <si>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</si>
  <si>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</si>
  <si>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</si>
  <si>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</si>
  <si>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</si>
  <si>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</si>
  <si>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</si>
  <si>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</si>
  <si>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</si>
  <si>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</si>
  <si>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</si>
  <si>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</si>
  <si>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</si>
  <si>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</si>
  <si>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</si>
  <si>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</si>
  <si>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</si>
  <si>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</si>
  <si>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</si>
  <si>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</si>
  <si>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</si>
  <si>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</si>
  <si>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</si>
  <si>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</si>
  <si>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</si>
  <si>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</si>
  <si>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</si>
  <si>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</si>
  <si>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</si>
  <si>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</si>
  <si>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</si>
  <si>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</si>
  <si>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</si>
  <si>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</si>
  <si>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</si>
  <si>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</si>
  <si>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</si>
  <si>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</si>
  <si>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</si>
  <si>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</si>
  <si>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</si>
  <si>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</si>
  <si>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</si>
  <si>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</si>
  <si>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</si>
  <si>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</si>
  <si>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</si>
  <si>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</si>
  <si>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</si>
  <si>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</si>
  <si>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</si>
  <si>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</si>
  <si>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</si>
  <si>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</si>
  <si>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</si>
  <si>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</si>
  <si>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</si>
  <si>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</si>
  <si>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</si>
  <si>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</si>
  <si>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</si>
  <si>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</si>
  <si>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</si>
  <si>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</si>
  <si>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</si>
  <si>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</si>
  <si>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</si>
  <si>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</si>
  <si>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</si>
  <si>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</si>
  <si>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</si>
  <si>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</si>
  <si>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</si>
  <si>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</si>
  <si>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</si>
  <si>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</si>
  <si>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</si>
  <si>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</si>
  <si>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</si>
  <si>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</si>
  <si>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</si>
  <si>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</si>
  <si>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</si>
  <si>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</si>
  <si>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</si>
  <si>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</si>
  <si>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</si>
  <si>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</si>
  <si>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</si>
  <si>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</si>
  <si>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</si>
  <si>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</si>
  <si>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</si>
  <si>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</si>
  <si>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</si>
  <si>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</si>
  <si>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</si>
  <si>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</si>
  <si>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</si>
  <si>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</si>
  <si>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</si>
  <si>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</si>
  <si>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</si>
  <si>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</si>
  <si>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</si>
  <si>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</si>
  <si>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</si>
  <si>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</si>
  <si>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</si>
  <si>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</si>
  <si>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</si>
  <si>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</si>
  <si>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</si>
  <si>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</si>
  <si>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</si>
  <si>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</si>
  <si>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</si>
  <si>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</si>
  <si>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</si>
  <si>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</si>
  <si>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</si>
  <si>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</si>
  <si>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</si>
  <si>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</si>
  <si>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</si>
  <si>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</si>
  <si>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</si>
  <si>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</si>
  <si>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</si>
  <si>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</si>
  <si>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</si>
  <si>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</si>
  <si>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</si>
  <si>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</si>
  <si>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</si>
  <si>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</si>
  <si>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</si>
  <si>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</si>
  <si>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</si>
  <si>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</si>
  <si>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</si>
  <si>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</si>
  <si>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</si>
  <si>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</si>
  <si>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</si>
  <si>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</si>
  <si>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</si>
  <si>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</si>
  <si>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</si>
  <si>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</si>
  <si>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</si>
  <si>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</si>
  <si>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</si>
  <si>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</si>
  <si>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</si>
  <si>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</si>
  <si>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</si>
  <si>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</si>
  <si>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</si>
  <si>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</si>
  <si>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</si>
  <si>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</si>
  <si>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</si>
  <si>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</si>
  <si>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</si>
  <si>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</si>
  <si>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</si>
  <si>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</si>
  <si>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</si>
  <si>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</si>
  <si>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</si>
  <si>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</si>
  <si>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</si>
  <si>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</si>
  <si>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</si>
  <si>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</si>
  <si>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</si>
  <si>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</si>
  <si>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</si>
  <si>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</si>
  <si>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</si>
  <si>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</si>
  <si>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</si>
  <si>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</si>
  <si>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</si>
  <si>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</si>
  <si>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</si>
  <si>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</si>
  <si>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</si>
  <si>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</si>
  <si>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</si>
  <si>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</si>
  <si>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</si>
  <si>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</si>
  <si>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</si>
  <si>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</si>
  <si>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</si>
  <si>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</si>
  <si>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</si>
  <si>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</si>
  <si>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</si>
  <si>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</si>
  <si>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</si>
  <si>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</si>
  <si>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</si>
  <si>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</si>
  <si>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</si>
  <si>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</si>
  <si>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</si>
  <si>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</si>
  <si>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</si>
  <si>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</si>
  <si>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</si>
  <si>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</si>
  <si>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</si>
  <si>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</si>
  <si>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</si>
  <si>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</si>
  <si>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</si>
  <si>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</si>
  <si>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</si>
  <si>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</si>
  <si>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</si>
  <si>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</si>
  <si>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</si>
  <si>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</si>
  <si>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</si>
  <si>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</si>
  <si>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</si>
  <si>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</si>
  <si>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</si>
  <si>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</si>
  <si>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</si>
  <si>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</si>
  <si>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</si>
  <si>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</si>
  <si>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</si>
  <si>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</si>
  <si>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</si>
  <si>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</si>
  <si>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</si>
  <si>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</si>
  <si>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</si>
  <si>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</si>
  <si>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</si>
  <si>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</si>
  <si>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</si>
  <si>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</si>
  <si>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</si>
  <si>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</si>
  <si>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</si>
  <si>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</si>
  <si>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</si>
  <si>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</si>
  <si>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</si>
  <si>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</si>
  <si>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</si>
  <si>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</si>
  <si>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</si>
  <si>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</si>
  <si>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</si>
  <si>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</si>
  <si>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</si>
  <si>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</si>
  <si>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</si>
  <si>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</si>
  <si>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</si>
  <si>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</si>
  <si>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</si>
  <si>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</si>
  <si>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</si>
  <si>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</si>
  <si>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</si>
  <si>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</si>
  <si>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</si>
  <si>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</si>
  <si>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</si>
  <si>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</si>
  <si>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</si>
  <si>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</si>
  <si>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</si>
  <si>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</si>
  <si>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</si>
  <si>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</si>
  <si>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</si>
  <si>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</si>
  <si>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</si>
  <si>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</si>
  <si>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</si>
  <si>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</si>
  <si>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</si>
  <si>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</si>
  <si>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</si>
  <si>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</si>
  <si>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</si>
  <si>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</si>
  <si>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</si>
  <si>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</si>
  <si>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</si>
  <si>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</si>
  <si>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</si>
  <si>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</si>
  <si>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</si>
  <si>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</si>
  <si>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</si>
  <si>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</si>
  <si>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</si>
  <si>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</si>
  <si>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</si>
  <si>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</si>
  <si>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</si>
  <si>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</si>
  <si>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</si>
  <si>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</si>
  <si>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</si>
  <si>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</si>
  <si>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</si>
  <si>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</si>
  <si>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</si>
  <si>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</si>
  <si>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</si>
  <si>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</si>
  <si>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</si>
  <si>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</si>
  <si>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</si>
  <si>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</si>
  <si>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</si>
  <si>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</si>
  <si>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</si>
  <si>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</si>
  <si>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</si>
  <si>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</si>
  <si>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</si>
  <si>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</si>
  <si>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</si>
  <si>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</si>
  <si>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</si>
  <si>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</si>
  <si>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</si>
  <si>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</si>
  <si>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</si>
  <si>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</si>
  <si>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</si>
  <si>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</si>
  <si>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</si>
  <si>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</si>
  <si>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</si>
  <si>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</si>
  <si>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</si>
  <si>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</si>
  <si>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</si>
  <si>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</si>
  <si>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</si>
  <si>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</si>
  <si>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</si>
  <si>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</si>
  <si>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</si>
  <si>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</si>
  <si>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</si>
  <si>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</si>
  <si>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</si>
  <si>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</si>
  <si>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</si>
  <si>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</si>
  <si>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</si>
  <si>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</si>
  <si>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</si>
  <si>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</si>
  <si>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</si>
  <si>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</si>
  <si>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</si>
  <si>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</si>
  <si>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</si>
  <si>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</si>
  <si>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</si>
  <si>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</si>
  <si>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</si>
  <si>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</si>
  <si>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</si>
  <si>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</si>
  <si>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</si>
  <si>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</si>
  <si>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</si>
  <si>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</si>
  <si>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</si>
  <si>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</si>
  <si>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</si>
  <si>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</si>
  <si>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</si>
  <si>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</si>
  <si>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</si>
  <si>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</si>
  <si>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</si>
  <si>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</si>
  <si>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</si>
  <si>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</si>
  <si>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</si>
  <si>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</si>
  <si>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</si>
  <si>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</si>
  <si>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</si>
  <si>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</si>
  <si>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</si>
  <si>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</si>
  <si>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</si>
  <si>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</si>
  <si>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</si>
  <si>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</si>
  <si>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</si>
  <si>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</si>
  <si>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</si>
  <si>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</si>
  <si>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</si>
  <si>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</si>
  <si>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</si>
  <si>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</si>
  <si>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</si>
  <si>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</si>
  <si>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</si>
  <si>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</si>
  <si>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</si>
  <si>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</si>
  <si>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</si>
  <si>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</si>
  <si>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</si>
  <si>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</si>
  <si>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</si>
  <si>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</si>
  <si>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</si>
  <si>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</si>
  <si>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</si>
  <si>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</si>
  <si>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</si>
  <si>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</si>
  <si>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</si>
  <si>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</si>
  <si>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</si>
  <si>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</si>
  <si>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</si>
  <si>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</si>
  <si>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</si>
  <si>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</si>
  <si>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</si>
  <si>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</si>
  <si>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</si>
  <si>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</si>
  <si>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</si>
  <si>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</si>
  <si>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</si>
  <si>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</si>
  <si>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</si>
  <si>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</si>
  <si>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</si>
  <si>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</si>
  <si>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</si>
  <si>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</si>
  <si>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</si>
  <si>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</si>
  <si>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</si>
  <si>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</si>
  <si>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</si>
  <si>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</si>
  <si>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</si>
  <si>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</si>
  <si>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</si>
  <si>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</si>
  <si>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</si>
  <si>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</si>
  <si>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</si>
  <si>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</si>
  <si>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</si>
  <si>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</si>
  <si>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</si>
  <si>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</si>
  <si>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</si>
  <si>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</si>
  <si>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</si>
  <si>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</si>
  <si>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</si>
  <si>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</si>
  <si>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</si>
  <si>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</si>
  <si>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</si>
  <si>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</si>
  <si>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</si>
  <si>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</si>
  <si>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</si>
  <si>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</si>
  <si>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</si>
  <si>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</si>
  <si>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</si>
  <si>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</si>
  <si>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</si>
  <si>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</si>
  <si>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</si>
  <si>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</si>
  <si>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</si>
  <si>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</si>
  <si>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</si>
  <si>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</si>
  <si>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</si>
  <si>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</si>
  <si>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</si>
  <si>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</si>
  <si>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</si>
  <si>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</si>
  <si>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</si>
  <si>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</si>
  <si>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</si>
  <si>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</si>
  <si>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</si>
  <si>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</si>
  <si>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</si>
  <si>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</si>
  <si>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</si>
  <si>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</si>
  <si>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</si>
  <si>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</si>
  <si>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</si>
  <si>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</si>
  <si>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</si>
  <si>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</si>
  <si>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</si>
  <si>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</si>
  <si>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</si>
  <si>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</si>
  <si>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</si>
  <si>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</si>
  <si>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</si>
  <si>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</si>
  <si>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</si>
  <si>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</si>
  <si>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</si>
  <si>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</si>
  <si>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</si>
  <si>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</si>
  <si>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</si>
  <si>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</si>
  <si>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</si>
  <si>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</si>
  <si>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</si>
  <si>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</si>
  <si>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</si>
  <si>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</si>
  <si>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</si>
  <si>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</si>
  <si>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</si>
  <si>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</si>
  <si>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</si>
  <si>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</si>
  <si>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</si>
  <si>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</si>
  <si>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</si>
  <si>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</si>
  <si>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</si>
  <si>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</si>
  <si>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</si>
  <si>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</si>
  <si>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</si>
  <si>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</si>
  <si>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</si>
  <si>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</si>
  <si>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</si>
  <si>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</si>
  <si>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</si>
  <si>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</si>
  <si>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</si>
  <si>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</si>
  <si>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</si>
  <si>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</si>
  <si>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</si>
  <si>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</si>
  <si>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</si>
  <si>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</si>
  <si>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</si>
  <si>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</si>
  <si>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</si>
  <si>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</si>
  <si>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</si>
  <si>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</si>
  <si>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</si>
  <si>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</si>
  <si>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</si>
  <si>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</si>
  <si>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</si>
  <si>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</si>
  <si>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</si>
  <si>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</si>
  <si>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</si>
  <si>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</si>
  <si>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</si>
  <si>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</si>
  <si>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</si>
  <si>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</si>
  <si>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</si>
  <si>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</si>
  <si>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</si>
  <si>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</si>
  <si>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</si>
  <si>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</si>
  <si>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</si>
  <si>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</si>
  <si>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</si>
  <si>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</si>
  <si>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</si>
  <si>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</si>
  <si>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</si>
  <si>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</si>
  <si>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</si>
  <si>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</si>
  <si>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</si>
  <si>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</si>
  <si>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</si>
  <si>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</si>
  <si>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</si>
  <si>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</si>
  <si>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</si>
  <si>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</si>
  <si>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</si>
  <si>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</si>
  <si>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</si>
  <si>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</si>
  <si>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</si>
  <si>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</si>
  <si>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</si>
  <si>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</si>
  <si>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</si>
  <si>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</si>
  <si>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</si>
  <si>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</si>
  <si>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</si>
  <si>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</si>
  <si>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</si>
  <si>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</si>
  <si>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</si>
  <si>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</si>
  <si>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</si>
  <si>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</si>
  <si>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</si>
  <si>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</si>
  <si>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</si>
  <si>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</si>
  <si>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</si>
  <si>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</si>
  <si>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</si>
  <si>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</si>
  <si>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</si>
  <si>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</si>
  <si>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</si>
  <si>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</si>
  <si>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</si>
  <si>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</si>
  <si>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</si>
  <si>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</si>
  <si>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</si>
  <si>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</si>
  <si>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</si>
  <si>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</si>
  <si>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</si>
  <si>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</si>
  <si>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</si>
  <si>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</si>
  <si>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</si>
  <si>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</si>
  <si>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</si>
  <si>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</si>
  <si>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</si>
  <si>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</si>
  <si>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</si>
  <si>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</si>
  <si>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</si>
  <si>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</si>
  <si>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</si>
  <si>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</si>
  <si>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</si>
  <si>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</si>
  <si>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</si>
  <si>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</si>
  <si>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</si>
  <si>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</si>
  <si>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</si>
  <si>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</si>
  <si>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</si>
  <si>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</si>
  <si>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</si>
  <si>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</si>
  <si>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</si>
  <si>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</si>
  <si>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</si>
  <si>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</si>
  <si>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</si>
  <si>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</si>
  <si>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</si>
  <si>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</si>
  <si>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</si>
  <si>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</si>
  <si>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</si>
  <si>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</si>
  <si>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</si>
  <si>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</si>
  <si>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</si>
  <si>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</si>
  <si>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</si>
  <si>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</si>
  <si>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</si>
  <si>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</si>
  <si>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</si>
  <si>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</si>
  <si>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</si>
  <si>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</si>
  <si>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</si>
  <si>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</si>
  <si>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</si>
  <si>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</si>
  <si>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</si>
  <si>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</si>
  <si>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</si>
  <si>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</si>
  <si>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</si>
  <si>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</si>
  <si>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</si>
  <si>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</si>
  <si>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</si>
  <si>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</si>
  <si>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</si>
  <si>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</si>
  <si>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</si>
  <si>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</si>
  <si>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</si>
  <si>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</si>
  <si>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</si>
  <si>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</si>
  <si>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</si>
  <si>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</si>
  <si>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</si>
  <si>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</si>
  <si>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</si>
  <si>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</si>
  <si>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</si>
  <si>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</si>
  <si>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</si>
  <si>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</si>
  <si>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</si>
  <si>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</si>
  <si>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</si>
  <si>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</si>
  <si>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</si>
  <si>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</si>
  <si>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</si>
  <si>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</si>
  <si>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</si>
  <si>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</si>
  <si>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</si>
  <si>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</si>
  <si>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</si>
  <si>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</si>
  <si>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</si>
  <si>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</si>
  <si>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</si>
  <si>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</si>
  <si>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</si>
  <si>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</si>
  <si>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</si>
  <si>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</si>
  <si>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</si>
  <si>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</si>
  <si>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</si>
  <si>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</si>
  <si>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</si>
  <si>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</si>
  <si>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</si>
  <si>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</si>
  <si>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</si>
  <si>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</si>
  <si>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</si>
  <si>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</si>
  <si>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</si>
  <si>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</si>
  <si>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</si>
  <si>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</si>
  <si>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</si>
  <si>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</si>
  <si>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</si>
  <si>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</si>
  <si>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</si>
  <si>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</si>
  <si>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</si>
  <si>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</si>
  <si>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</si>
  <si>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</si>
  <si>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</si>
  <si>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</si>
  <si>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</si>
  <si>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</si>
  <si>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</si>
  <si>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</si>
  <si>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</si>
  <si>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</si>
  <si>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</si>
  <si>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</si>
  <si>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</si>
  <si>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</si>
  <si>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</si>
  <si>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</si>
  <si>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</si>
  <si>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</si>
  <si>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</si>
  <si>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</si>
  <si>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</si>
  <si>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</si>
  <si>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</si>
  <si>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</si>
  <si>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</si>
  <si>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</si>
  <si>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</si>
  <si>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</si>
  <si>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</si>
  <si>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</si>
  <si>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</si>
  <si>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</si>
  <si>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</si>
  <si>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</si>
  <si>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</si>
  <si>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</si>
  <si>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</si>
  <si>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</si>
  <si>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</si>
  <si>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</si>
  <si>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</si>
  <si>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</si>
  <si>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</si>
  <si>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</si>
  <si>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</si>
  <si>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</si>
  <si>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</si>
  <si>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</si>
  <si>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</si>
  <si>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</si>
  <si>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</si>
  <si>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</si>
  <si>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</si>
  <si>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</si>
  <si>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</si>
  <si>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</si>
  <si>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</si>
  <si>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</si>
  <si>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</si>
  <si>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</si>
  <si>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</si>
  <si>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</si>
  <si>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</si>
  <si>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</si>
  <si>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</si>
  <si>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</si>
  <si>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</si>
  <si>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</si>
  <si>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</si>
  <si>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</si>
  <si>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</si>
  <si>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</si>
  <si>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</si>
  <si>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</si>
  <si>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</si>
  <si>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</si>
  <si>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</si>
  <si>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</si>
  <si>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</si>
  <si>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</si>
  <si>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</si>
  <si>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</si>
  <si>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</si>
  <si>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</si>
  <si>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</si>
  <si>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</si>
  <si>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</si>
  <si>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</si>
  <si>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</si>
  <si>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</si>
  <si>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</si>
  <si>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</si>
  <si>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</si>
  <si>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</si>
  <si>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</si>
  <si>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</si>
  <si>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</si>
  <si>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</si>
  <si>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</si>
  <si>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</si>
  <si>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</si>
  <si>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</si>
  <si>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</si>
  <si>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</si>
  <si>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</si>
  <si>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</si>
  <si>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</si>
  <si>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</si>
  <si>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</si>
  <si>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</si>
  <si>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</si>
  <si>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</si>
  <si>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</si>
  <si>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</si>
  <si>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</si>
  <si>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</si>
  <si>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</si>
  <si>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</si>
  <si>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</si>
  <si>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</si>
  <si>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</si>
  <si>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</si>
  <si>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</si>
  <si>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</si>
  <si>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</si>
  <si>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</si>
  <si>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</si>
  <si>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</si>
  <si>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</si>
  <si>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</si>
  <si>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</si>
  <si>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</si>
  <si>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</si>
  <si>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</si>
  <si>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</si>
  <si>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</si>
  <si>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</si>
  <si>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</si>
  <si>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</si>
  <si>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</si>
  <si>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</si>
  <si>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</si>
  <si>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</si>
  <si>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</si>
  <si>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</si>
  <si>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</si>
  <si>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</si>
  <si>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</si>
  <si>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</si>
  <si>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</si>
  <si>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</si>
  <si>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</si>
  <si>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</si>
  <si>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</si>
  <si>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</si>
  <si>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</si>
  <si>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</si>
  <si>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</si>
  <si>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</si>
  <si>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</si>
  <si>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</si>
  <si>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</si>
  <si>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</si>
  <si>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</si>
  <si>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</si>
  <si>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</si>
  <si>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</si>
  <si>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</si>
  <si>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</si>
  <si>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</si>
  <si>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</si>
  <si>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</si>
  <si>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</si>
  <si>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</si>
  <si>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</si>
  <si>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</si>
  <si>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</si>
  <si>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</si>
  <si>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</si>
  <si>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</si>
  <si>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</si>
  <si>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</si>
  <si>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</si>
  <si>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</si>
  <si>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</si>
  <si>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</si>
  <si>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</si>
  <si>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</si>
  <si>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</si>
  <si>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</si>
  <si>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</si>
  <si>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</si>
  <si>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</si>
  <si>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</si>
  <si>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</si>
  <si>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</si>
  <si>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</si>
  <si>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</si>
  <si>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</si>
  <si>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</si>
  <si>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</si>
  <si>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</si>
  <si>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</si>
  <si>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</si>
  <si>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</si>
  <si>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</si>
  <si>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</si>
  <si>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</si>
  <si>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</si>
  <si>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</si>
  <si>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</si>
  <si>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</si>
  <si>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</si>
  <si>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</si>
  <si>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</si>
  <si>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</si>
  <si>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</si>
  <si>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</si>
  <si>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</si>
  <si>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</si>
  <si>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</si>
  <si>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</si>
  <si>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</si>
  <si>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</si>
  <si>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</si>
  <si>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</si>
  <si>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</si>
  <si>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</si>
  <si>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</si>
  <si>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</si>
  <si>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</si>
  <si>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</si>
  <si>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</si>
  <si>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</si>
  <si>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</si>
  <si>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</si>
  <si>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</si>
  <si>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</si>
  <si>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</si>
  <si>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</si>
  <si>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</si>
  <si>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</si>
  <si>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</si>
  <si>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</si>
  <si>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</si>
  <si>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</si>
  <si>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</si>
  <si>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</si>
  <si>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</si>
  <si>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</si>
  <si>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</si>
  <si>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</si>
  <si>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</si>
  <si>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</si>
  <si>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</si>
  <si>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</si>
  <si>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</si>
  <si>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</si>
  <si>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</si>
  <si>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</si>
  <si>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</si>
  <si>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</si>
  <si>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</si>
  <si>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</si>
  <si>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</si>
  <si>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</si>
  <si>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</si>
  <si>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</si>
  <si>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</si>
  <si>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</si>
  <si>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</si>
  <si>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</si>
  <si>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</si>
  <si>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</si>
  <si>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</si>
  <si>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</si>
  <si>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</si>
  <si>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</si>
  <si>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</si>
  <si>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</si>
  <si>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</si>
  <si>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</si>
  <si>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</si>
  <si>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</si>
  <si>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</si>
  <si>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</si>
  <si>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</si>
  <si>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</si>
  <si>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</si>
  <si>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</si>
  <si>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</si>
  <si>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</si>
  <si>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</si>
  <si>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</si>
  <si>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</si>
  <si>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</si>
  <si>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</si>
  <si>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</si>
  <si>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</si>
  <si>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</si>
  <si>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</si>
  <si>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</si>
  <si>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</si>
  <si>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</si>
  <si>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</si>
  <si>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</si>
  <si>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</si>
  <si>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</si>
  <si>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</si>
  <si>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</si>
  <si>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</si>
  <si>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</si>
  <si>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</si>
  <si>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</si>
  <si>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</si>
  <si>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</si>
  <si>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</si>
  <si>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</si>
  <si>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</si>
  <si>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</si>
  <si>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</si>
  <si>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</si>
  <si>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</si>
  <si>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</si>
  <si>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</si>
  <si>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</si>
  <si>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</si>
  <si>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</si>
  <si>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</si>
  <si>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</si>
  <si>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</si>
  <si>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</si>
  <si>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</si>
  <si>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</si>
  <si>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</si>
  <si>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</si>
  <si>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</si>
  <si>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</si>
  <si>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</si>
  <si>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</si>
  <si>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</si>
  <si>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</si>
  <si>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</si>
  <si>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</si>
  <si>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</si>
  <si>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</si>
  <si>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</si>
  <si>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</si>
  <si>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</si>
  <si>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</si>
  <si>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</si>
  <si>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</si>
  <si>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</si>
  <si>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</si>
  <si>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</si>
  <si>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</si>
  <si>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</si>
  <si>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</si>
  <si>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</si>
  <si>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</si>
  <si>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</si>
  <si>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</si>
  <si>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</si>
  <si>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</si>
  <si>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</si>
  <si>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</si>
  <si>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</si>
  <si>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</si>
  <si>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</si>
  <si>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</si>
  <si>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</si>
  <si>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</si>
  <si>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</si>
  <si>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</si>
  <si>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</si>
  <si>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</si>
  <si>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</si>
  <si>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</si>
  <si>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</si>
  <si>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</si>
  <si>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</si>
  <si>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</si>
  <si>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</si>
  <si>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</si>
  <si>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</si>
  <si>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</si>
  <si>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</si>
  <si>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</si>
  <si>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</si>
  <si>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</si>
  <si>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</si>
  <si>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</si>
  <si>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</si>
  <si>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</si>
  <si>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</si>
  <si>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</si>
  <si>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</si>
  <si>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</si>
  <si>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</si>
  <si>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</si>
  <si>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</si>
  <si>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</si>
  <si>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</si>
  <si>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</si>
  <si>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</si>
  <si>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</si>
  <si>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</si>
  <si>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</si>
  <si>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</si>
  <si>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</si>
  <si>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</si>
  <si>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</si>
  <si>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</si>
  <si>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</si>
  <si>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</si>
  <si>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</si>
  <si>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</si>
  <si>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</si>
  <si>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</si>
  <si>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</si>
  <si>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</si>
  <si>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</si>
  <si>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</si>
  <si>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</si>
  <si>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</si>
  <si>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</si>
  <si>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</si>
  <si>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</si>
  <si>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</si>
  <si>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</si>
  <si>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</si>
  <si>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</si>
  <si>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</si>
  <si>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</si>
  <si>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</si>
  <si>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</si>
  <si>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</si>
  <si>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</si>
  <si>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</si>
  <si>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</si>
  <si>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</si>
  <si>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</si>
  <si>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</si>
  <si>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</si>
  <si>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</si>
  <si>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</si>
  <si>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</si>
  <si>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</si>
  <si>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</si>
  <si>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</si>
  <si>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</si>
  <si>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</si>
  <si>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</si>
  <si>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</si>
  <si>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</si>
  <si>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</si>
  <si>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</si>
  <si>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</si>
  <si>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</si>
  <si>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</si>
  <si>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</si>
  <si>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</si>
  <si>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</si>
  <si>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</si>
  <si>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</si>
  <si>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</si>
  <si>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</si>
  <si>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</si>
  <si>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</si>
  <si>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</si>
  <si>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</si>
  <si>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</si>
  <si>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</si>
  <si>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</si>
  <si>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</si>
  <si>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</si>
  <si>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</si>
  <si>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</si>
  <si>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</si>
  <si>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</si>
  <si>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</si>
  <si>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</si>
  <si>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</si>
  <si>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</si>
  <si>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</si>
  <si>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</si>
  <si>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</si>
  <si>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</si>
  <si>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</si>
  <si>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</si>
  <si>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</si>
  <si>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</si>
  <si>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</si>
  <si>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</si>
  <si>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</si>
  <si>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</si>
  <si>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</si>
  <si>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</si>
  <si>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</si>
  <si>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</si>
  <si>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</si>
  <si>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</si>
  <si>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</si>
  <si>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</si>
  <si>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</si>
  <si>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</si>
  <si>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</si>
  <si>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</si>
  <si>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</si>
  <si>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</si>
  <si>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</si>
  <si>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</si>
  <si>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</si>
  <si>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</si>
  <si>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</si>
  <si>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</si>
  <si>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</si>
  <si>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</si>
  <si>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</si>
  <si>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</si>
  <si>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</si>
  <si>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</si>
  <si>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</si>
  <si>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</si>
  <si>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</si>
  <si>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</si>
  <si>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</si>
  <si>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</si>
  <si>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</si>
  <si>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</si>
  <si>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</si>
  <si>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</si>
  <si>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</si>
  <si>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</si>
  <si>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</si>
  <si>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</si>
  <si>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</si>
  <si>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</si>
  <si>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</si>
  <si>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</si>
  <si>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</si>
  <si>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</si>
  <si>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</si>
  <si>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</si>
  <si>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</si>
  <si>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</si>
  <si>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</si>
  <si>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</si>
  <si>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</si>
  <si>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</si>
  <si>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</si>
  <si>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</si>
  <si>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</si>
  <si>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</si>
  <si>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</si>
  <si>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</si>
  <si>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</si>
  <si>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</si>
  <si>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</si>
  <si>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</si>
  <si>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</si>
  <si>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</si>
  <si>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</si>
  <si>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</si>
  <si>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</si>
  <si>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</si>
  <si>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</si>
  <si>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</si>
  <si>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</si>
  <si>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</si>
  <si>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</si>
  <si>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</si>
  <si>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</si>
  <si>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</si>
  <si>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</si>
  <si>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</si>
  <si>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</si>
  <si>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</si>
  <si>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</si>
  <si>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</si>
  <si>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</si>
  <si>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</si>
  <si>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</si>
  <si>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</si>
  <si>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</si>
  <si>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</si>
  <si>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</si>
  <si>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</si>
  <si>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</si>
  <si>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</si>
  <si>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</si>
  <si>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</si>
  <si>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</si>
  <si>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</si>
  <si>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</si>
  <si>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</si>
  <si>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</si>
  <si>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</si>
  <si>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</si>
  <si>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</si>
  <si>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</si>
  <si>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</si>
  <si>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</si>
  <si>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</si>
  <si>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</si>
  <si>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</si>
  <si>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</si>
  <si>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</si>
  <si>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</si>
  <si>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</si>
  <si>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</si>
  <si>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</si>
  <si>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</si>
  <si>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</si>
  <si>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</si>
  <si>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</si>
  <si>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</si>
  <si>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</si>
  <si>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</si>
  <si>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</si>
  <si>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</si>
  <si>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</si>
  <si>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</si>
  <si>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</si>
  <si>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</si>
  <si>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</si>
  <si>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</si>
  <si>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</si>
  <si>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</si>
  <si>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</si>
  <si>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</si>
  <si>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</si>
  <si>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</si>
  <si>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</si>
  <si>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</si>
  <si>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</si>
  <si>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</si>
  <si>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</si>
  <si>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</si>
  <si>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</si>
  <si>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</si>
  <si>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</si>
  <si>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</si>
  <si>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</si>
  <si>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</si>
  <si>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</si>
  <si>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</si>
  <si>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</si>
  <si>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</si>
  <si>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</si>
  <si>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</si>
  <si>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</si>
  <si>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</si>
  <si>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</si>
  <si>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</si>
  <si>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</si>
  <si>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</si>
  <si>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</si>
  <si>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</si>
  <si>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</si>
  <si>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</si>
  <si>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</si>
  <si>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</si>
  <si>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</si>
  <si>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</si>
  <si>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</si>
  <si>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</si>
  <si>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</si>
  <si>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</si>
  <si>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</si>
  <si>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</si>
  <si>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</si>
  <si>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</si>
  <si>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</si>
  <si>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</si>
  <si>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</si>
  <si>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</si>
  <si>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</si>
  <si>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</si>
  <si>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</si>
  <si>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</si>
  <si>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</si>
  <si>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</si>
  <si>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</si>
  <si>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</si>
  <si>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</si>
  <si>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</si>
  <si>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</si>
  <si>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</si>
  <si>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</si>
  <si>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</si>
  <si>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</si>
  <si>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</si>
  <si>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</si>
  <si>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</si>
  <si>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</si>
  <si>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</si>
  <si>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</si>
  <si>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</si>
  <si>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</si>
  <si>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</si>
  <si>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</si>
  <si>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</si>
  <si>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</si>
  <si>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</si>
  <si>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</si>
  <si>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</si>
  <si>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</si>
  <si>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</si>
  <si>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</si>
  <si>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</si>
  <si>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</si>
  <si>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</si>
  <si>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</si>
  <si>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</si>
  <si>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</si>
  <si>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</si>
  <si>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</si>
  <si>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</si>
  <si>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</si>
  <si>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</si>
  <si>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</si>
  <si>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</si>
  <si>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</si>
  <si>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</si>
  <si>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</si>
  <si>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</si>
  <si>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</si>
  <si>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</si>
  <si>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</si>
  <si>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</si>
  <si>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</si>
  <si>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</si>
  <si>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</si>
  <si>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</si>
  <si>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</si>
  <si>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</si>
  <si>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</si>
  <si>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</si>
  <si>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</si>
  <si>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</si>
  <si>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</si>
  <si>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</si>
  <si>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</si>
  <si>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</si>
  <si>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</si>
  <si>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</si>
  <si>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</si>
  <si>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</si>
  <si>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</si>
  <si>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</si>
  <si>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</si>
  <si>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</si>
  <si>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</si>
  <si>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</si>
  <si>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</si>
  <si>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</si>
  <si>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</si>
  <si>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</si>
  <si>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</si>
  <si>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</si>
  <si>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</si>
  <si>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</si>
  <si>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</si>
  <si>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</si>
  <si>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</si>
  <si>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</si>
  <si>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</si>
  <si>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</si>
  <si>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</si>
  <si>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</si>
  <si>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</si>
  <si>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</si>
  <si>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</si>
  <si>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</si>
  <si>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</si>
  <si>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</si>
  <si>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</si>
  <si>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</si>
  <si>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</si>
  <si>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</si>
  <si>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</si>
  <si>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</si>
  <si>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</si>
  <si>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</si>
  <si>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</si>
  <si>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</si>
  <si>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</si>
  <si>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</si>
  <si>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</si>
  <si>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</si>
  <si>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</si>
  <si>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</si>
  <si>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</si>
  <si>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</si>
  <si>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</si>
  <si>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</si>
  <si>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</si>
  <si>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</si>
  <si>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</si>
  <si>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</si>
  <si>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</si>
  <si>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</si>
  <si>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</si>
  <si>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</si>
  <si>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</si>
  <si>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</si>
  <si>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</si>
  <si>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</si>
  <si>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</si>
  <si>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</si>
  <si>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</si>
  <si>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</si>
  <si>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</si>
  <si>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</si>
  <si>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</si>
  <si>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</si>
  <si>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</si>
  <si>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</si>
  <si>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</si>
  <si>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</si>
  <si>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</si>
  <si>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</si>
  <si>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</si>
  <si>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</si>
  <si>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</si>
  <si>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</si>
  <si>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</si>
  <si>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</si>
  <si>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</si>
  <si>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</si>
  <si>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</si>
  <si>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</si>
  <si>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</si>
  <si>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</si>
  <si>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</si>
  <si>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</si>
  <si>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</si>
  <si>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</si>
  <si>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</si>
  <si>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</si>
  <si>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</si>
  <si>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</si>
  <si>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</si>
  <si>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</si>
  <si>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</si>
  <si>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</si>
  <si>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</si>
  <si>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</si>
  <si>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</si>
  <si>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</si>
  <si>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</si>
  <si>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</si>
  <si>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</si>
  <si>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</si>
  <si>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</si>
  <si>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</si>
  <si>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</si>
  <si>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</si>
  <si>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</si>
  <si>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</si>
  <si>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</si>
  <si>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</si>
  <si>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</si>
  <si>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</si>
  <si>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</si>
  <si>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</si>
  <si>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</si>
  <si>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</si>
  <si>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</si>
  <si>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</si>
  <si>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</si>
  <si>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</si>
  <si>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</si>
  <si>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</si>
  <si>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</si>
  <si>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</si>
  <si>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</si>
  <si>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</si>
  <si>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</si>
  <si>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</si>
  <si>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</si>
  <si>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</si>
  <si>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</si>
  <si>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</si>
  <si>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</si>
  <si>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</si>
  <si>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</si>
  <si>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</si>
  <si>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</si>
  <si>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</si>
  <si>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</si>
  <si>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</si>
  <si>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</si>
  <si>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</si>
  <si>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</si>
  <si>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</si>
  <si>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</si>
  <si>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</si>
  <si>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</si>
  <si>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</si>
  <si>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</si>
  <si>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</si>
  <si>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</si>
  <si>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</si>
  <si>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</si>
  <si>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</si>
  <si>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</si>
  <si>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</si>
  <si>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</si>
  <si>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</si>
  <si>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</si>
  <si>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</si>
  <si>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</si>
  <si>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</si>
  <si>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</si>
  <si>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</si>
  <si>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</si>
  <si>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</si>
  <si>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</si>
  <si>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</si>
  <si>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</si>
  <si>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</si>
  <si>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</si>
  <si>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</si>
  <si>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</si>
  <si>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</si>
  <si>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</si>
  <si>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</si>
  <si>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</si>
  <si>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</si>
  <si>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</si>
  <si>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</si>
  <si>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</si>
  <si>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</si>
  <si>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</si>
  <si>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</si>
  <si>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</si>
  <si>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</si>
  <si>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</si>
  <si>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</si>
  <si>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</si>
  <si>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</si>
  <si>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</si>
  <si>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</si>
  <si>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</si>
  <si>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</si>
  <si>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</si>
  <si>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</si>
  <si>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</si>
  <si>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</si>
  <si>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</si>
  <si>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</si>
  <si>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</si>
  <si>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</si>
  <si>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</si>
  <si>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</si>
  <si>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</si>
  <si>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</si>
  <si>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</si>
  <si>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</si>
  <si>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</si>
  <si>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</si>
  <si>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</si>
  <si>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</si>
  <si>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</si>
  <si>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</si>
  <si>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</si>
  <si>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</si>
  <si>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</si>
  <si>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</si>
  <si>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</si>
  <si>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</si>
  <si>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</si>
  <si>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</si>
  <si>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</si>
  <si>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</si>
  <si>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</si>
  <si>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</si>
  <si>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</si>
  <si>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</si>
  <si>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</si>
  <si>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</si>
  <si>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</si>
  <si>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</si>
  <si>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</si>
  <si>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</si>
  <si>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</si>
  <si>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</si>
  <si>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</si>
  <si>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</si>
  <si>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</si>
  <si>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</si>
  <si>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</si>
  <si>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</si>
  <si>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</si>
  <si>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</si>
  <si>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</si>
  <si>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</si>
  <si>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</si>
  <si>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</si>
  <si>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</si>
  <si>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</si>
  <si>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</si>
  <si>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</si>
  <si>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</si>
  <si>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</si>
  <si>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</si>
  <si>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</si>
  <si>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</si>
  <si>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</si>
  <si>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</si>
  <si>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</si>
  <si>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</si>
  <si>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</si>
  <si>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</si>
  <si>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</si>
  <si>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</si>
  <si>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</si>
  <si>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</si>
  <si>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</si>
  <si>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</si>
  <si>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</si>
  <si>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</si>
  <si>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</si>
  <si>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</si>
  <si>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</si>
  <si>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</si>
  <si>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</si>
  <si>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</si>
  <si>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</si>
  <si>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</si>
  <si>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</si>
  <si>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</si>
  <si>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</si>
  <si>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</si>
  <si>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</si>
  <si>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</si>
  <si>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</si>
  <si>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</si>
  <si>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</si>
  <si>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</si>
  <si>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</si>
  <si>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</si>
  <si>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</si>
  <si>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</si>
  <si>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</si>
  <si>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</si>
  <si>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</si>
  <si>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</si>
  <si>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</si>
  <si>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</si>
  <si>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</si>
  <si>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</si>
  <si>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</si>
  <si>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</si>
  <si>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</si>
  <si>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</si>
  <si>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</si>
  <si>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</si>
  <si>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</si>
  <si>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</si>
  <si>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</si>
  <si>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</si>
  <si>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</si>
  <si>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</si>
  <si>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</si>
  <si>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</si>
  <si>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</si>
  <si>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</si>
  <si>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</si>
  <si>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</si>
  <si>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</si>
  <si>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</si>
  <si>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</si>
  <si>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</si>
  <si>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</si>
  <si>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</si>
  <si>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</si>
  <si>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</si>
  <si>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</si>
  <si>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</si>
  <si>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</si>
  <si>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</si>
  <si>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</si>
  <si>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</si>
  <si>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</si>
  <si>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</si>
  <si>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</si>
  <si>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</si>
  <si>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</si>
  <si>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</si>
  <si>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</si>
  <si>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</si>
  <si>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</si>
  <si>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</si>
  <si>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</si>
  <si>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</si>
  <si>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</si>
  <si>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</si>
  <si>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</si>
  <si>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</si>
  <si>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</si>
  <si>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</si>
  <si>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</si>
  <si>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</si>
  <si>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</si>
  <si>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</si>
  <si>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</si>
  <si>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</si>
  <si>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</si>
  <si>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</si>
  <si>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</si>
  <si>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</si>
  <si>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</si>
  <si>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</si>
  <si>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</si>
  <si>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</si>
  <si>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</si>
  <si>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</si>
  <si>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</si>
  <si>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</si>
  <si>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</si>
  <si>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</si>
  <si>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</si>
  <si>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</si>
  <si>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</si>
  <si>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</si>
  <si>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</si>
  <si>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</si>
  <si>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</si>
  <si>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</si>
  <si>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</si>
  <si>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</si>
  <si>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</si>
  <si>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</si>
  <si>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</si>
  <si>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</si>
  <si>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</si>
  <si>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</si>
  <si>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</si>
  <si>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</si>
  <si>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</si>
  <si>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</si>
  <si>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</si>
  <si>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</si>
  <si>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</si>
  <si>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</si>
  <si>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</si>
  <si>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</si>
  <si>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</si>
  <si>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</si>
  <si>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</si>
  <si>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</si>
  <si>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</si>
  <si>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</si>
  <si>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</si>
  <si>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</si>
  <si>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</si>
  <si>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</si>
  <si>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</si>
  <si>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</si>
  <si>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</si>
  <si>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</si>
  <si>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</si>
  <si>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</si>
  <si>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</si>
  <si>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</si>
  <si>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</si>
  <si>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</si>
  <si>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</si>
  <si>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</si>
  <si>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</si>
  <si>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</si>
  <si>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</si>
  <si>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</si>
  <si>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</si>
  <si>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</si>
  <si>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</si>
  <si>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</si>
  <si>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</si>
  <si>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</si>
  <si>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</si>
  <si>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</si>
  <si>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</si>
  <si>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</si>
  <si>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</si>
  <si>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</si>
  <si>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</si>
  <si>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</si>
  <si>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</si>
  <si>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</si>
  <si>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</si>
  <si>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</si>
  <si>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</si>
  <si>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</si>
  <si>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</si>
  <si>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</si>
  <si>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</si>
  <si>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</si>
  <si>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</si>
  <si>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</si>
  <si>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</si>
  <si>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</si>
  <si>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</si>
  <si>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</si>
  <si>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</si>
  <si>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</si>
  <si>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</si>
  <si>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</si>
  <si>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</si>
  <si>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</si>
  <si>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</si>
  <si>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</si>
  <si>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</si>
  <si>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</si>
  <si>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</si>
  <si>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</si>
  <si>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</si>
  <si>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</si>
  <si>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</si>
  <si>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</si>
  <si>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</si>
  <si>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</si>
  <si>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</si>
  <si>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</si>
  <si>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</si>
  <si>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</si>
  <si>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</si>
  <si>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</si>
  <si>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</si>
  <si>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</si>
  <si>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</si>
  <si>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</si>
  <si>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</si>
  <si>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</si>
  <si>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</si>
  <si>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</si>
  <si>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</si>
  <si>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</si>
  <si>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</si>
  <si>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</si>
  <si>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</si>
  <si>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</si>
  <si>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</si>
  <si>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</si>
  <si>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</si>
  <si>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</si>
  <si>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</si>
  <si>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</si>
  <si>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</si>
  <si>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</si>
  <si>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</si>
  <si>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</si>
  <si>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</si>
  <si>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</si>
  <si>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</si>
  <si>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</si>
  <si>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</si>
  <si>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</si>
  <si>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</si>
  <si>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</si>
  <si>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</si>
  <si>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</si>
  <si>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</si>
  <si>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</si>
  <si>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</si>
  <si>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</si>
  <si>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</si>
  <si>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</si>
  <si>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</si>
  <si>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</si>
  <si>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</si>
  <si>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</si>
  <si>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</si>
  <si>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</si>
  <si>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</si>
  <si>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</si>
  <si>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</si>
  <si>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</si>
  <si>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</si>
  <si>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</si>
  <si>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</si>
  <si>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</si>
  <si>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</si>
  <si>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</si>
  <si>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</si>
  <si>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</si>
  <si>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</si>
  <si>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</si>
  <si>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</si>
  <si>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</si>
  <si>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</si>
  <si>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</si>
  <si>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</si>
  <si>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</si>
  <si>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</si>
  <si>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</si>
  <si>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</si>
  <si>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</si>
  <si>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</si>
  <si>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</si>
  <si>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</si>
  <si>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</si>
  <si>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</si>
  <si>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</si>
  <si>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</si>
  <si>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</si>
  <si>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</si>
  <si>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</si>
  <si>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</si>
  <si>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</si>
  <si>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</si>
  <si>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</si>
  <si>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</si>
  <si>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</si>
  <si>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</si>
  <si>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</si>
  <si>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</si>
  <si>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</si>
  <si>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</si>
  <si>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</si>
  <si>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</si>
  <si>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</si>
  <si>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</si>
  <si>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</si>
  <si>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</si>
  <si>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</si>
  <si>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</si>
  <si>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</si>
  <si>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</si>
  <si>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</si>
  <si>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</si>
  <si>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</si>
  <si>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</si>
  <si>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</si>
  <si>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</si>
  <si>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</si>
  <si>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</si>
  <si>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</si>
  <si>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</si>
  <si>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</si>
  <si>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</si>
  <si>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</si>
  <si>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</si>
  <si>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</si>
  <si>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</si>
  <si>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</si>
  <si>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</si>
  <si>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</si>
  <si>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</si>
  <si>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</si>
  <si>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</si>
  <si>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</si>
  <si>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</si>
  <si>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</si>
  <si>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</si>
  <si>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</si>
  <si>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</si>
  <si>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</si>
  <si>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</si>
  <si>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</si>
  <si>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</si>
  <si>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</si>
  <si>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</si>
  <si>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</si>
  <si>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</si>
  <si>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</si>
  <si>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</si>
  <si>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</si>
  <si>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</si>
  <si>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</si>
  <si>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</si>
  <si>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</si>
  <si>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</si>
  <si>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</si>
  <si>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</si>
  <si>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</si>
  <si>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</si>
  <si>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</si>
  <si>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</si>
  <si>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</si>
  <si>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</si>
  <si>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</si>
  <si>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</si>
  <si>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</si>
  <si>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</si>
  <si>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</si>
  <si>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</si>
  <si>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</si>
  <si>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</si>
  <si>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</si>
  <si>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</si>
  <si>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</si>
  <si>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</si>
  <si>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</si>
  <si>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</si>
  <si>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</si>
  <si>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</si>
  <si>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</si>
  <si>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</si>
  <si>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</si>
  <si>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</si>
  <si>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</si>
  <si>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</si>
  <si>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</si>
  <si>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</si>
  <si>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</si>
  <si>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</si>
  <si>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</si>
  <si>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</si>
  <si>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</si>
  <si>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</si>
  <si>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</si>
  <si>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</si>
  <si>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</si>
  <si>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</si>
  <si>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</si>
  <si>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</si>
  <si>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</si>
  <si>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</si>
  <si>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</si>
  <si>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</si>
  <si>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</si>
  <si>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</si>
  <si>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</si>
  <si>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</si>
  <si>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</si>
  <si>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</si>
  <si>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</si>
  <si>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</si>
  <si>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</si>
  <si>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</si>
  <si>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</si>
  <si>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</si>
  <si>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</si>
  <si>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</si>
  <si>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</si>
  <si>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</si>
  <si>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</si>
  <si>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</si>
  <si>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</si>
  <si>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</si>
  <si>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</si>
  <si>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</si>
  <si>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</si>
  <si>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</si>
  <si>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</si>
  <si>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</si>
  <si>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</si>
  <si>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</si>
  <si>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</si>
  <si>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</si>
  <si>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</si>
  <si>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</si>
  <si>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</si>
  <si>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</si>
  <si>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</si>
  <si>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</si>
  <si>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</si>
  <si>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</si>
  <si>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</si>
  <si>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</si>
  <si>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</si>
  <si>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</si>
  <si>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</si>
  <si>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</si>
  <si>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</si>
  <si>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</si>
  <si>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</si>
  <si>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</si>
  <si>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</si>
  <si>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</si>
  <si>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</si>
  <si>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</si>
  <si>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</si>
  <si>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</si>
  <si>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</si>
  <si>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</si>
  <si>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</si>
  <si>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</si>
  <si>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</si>
  <si>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</si>
  <si>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</si>
  <si>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</si>
  <si>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</si>
  <si>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</si>
  <si>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</si>
  <si>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</si>
  <si>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</si>
  <si>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</si>
  <si>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</si>
  <si>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</si>
  <si>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</si>
  <si>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</si>
  <si>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</si>
  <si>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</si>
  <si>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</si>
  <si>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</si>
  <si>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</si>
  <si>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</si>
  <si>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</si>
  <si>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</si>
  <si>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</si>
  <si>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</si>
  <si>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</si>
  <si>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</si>
  <si>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</si>
  <si>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</si>
  <si>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</si>
  <si>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</si>
  <si>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</si>
  <si>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</si>
  <si>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</si>
  <si>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</si>
  <si>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</si>
  <si>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</si>
  <si>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</si>
  <si>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</si>
  <si>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</si>
  <si>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</si>
  <si>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</si>
  <si>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</si>
  <si>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</si>
  <si>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</si>
  <si>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</si>
  <si>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</si>
  <si>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</si>
  <si>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</si>
  <si>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</si>
  <si>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</si>
  <si>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</si>
  <si>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</si>
  <si>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</si>
  <si>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</si>
  <si>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</si>
  <si>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</si>
  <si>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</si>
  <si>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</si>
  <si>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</si>
  <si>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</si>
  <si>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</si>
  <si>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</si>
  <si>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</si>
  <si>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</si>
  <si>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</si>
  <si>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</si>
  <si>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</si>
  <si>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</si>
  <si>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</si>
  <si>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</si>
  <si>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</si>
  <si>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</si>
  <si>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</si>
  <si>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</si>
  <si>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</si>
  <si>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</si>
  <si>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</si>
  <si>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</si>
  <si>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</si>
  <si>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</si>
  <si>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</si>
  <si>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</si>
  <si>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</si>
  <si>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</si>
  <si>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</si>
  <si>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</si>
  <si>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</si>
  <si>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</si>
  <si>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</si>
  <si>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</si>
  <si>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</si>
  <si>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</si>
  <si>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</si>
  <si>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</si>
  <si>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</si>
  <si>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</si>
  <si>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</si>
  <si>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</si>
  <si>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</si>
  <si>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</si>
  <si>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</si>
  <si>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</si>
  <si>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</si>
  <si>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</si>
  <si>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</si>
  <si>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</si>
  <si>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</si>
  <si>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</si>
  <si>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</si>
  <si>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</si>
  <si>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</si>
  <si>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</si>
  <si>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</si>
  <si>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</si>
  <si>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</si>
  <si>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</si>
  <si>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</si>
  <si>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</si>
  <si>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</si>
  <si>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</si>
  <si>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</si>
  <si>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</si>
  <si>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</si>
  <si>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</si>
  <si>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</si>
  <si>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</si>
  <si>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</si>
  <si>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</si>
  <si>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</si>
  <si>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</si>
  <si>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</si>
  <si>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</si>
  <si>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</si>
  <si>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</si>
  <si>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</si>
  <si>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</si>
  <si>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</si>
  <si>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</si>
  <si>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</si>
  <si>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</si>
  <si>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</si>
  <si>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</si>
  <si>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</si>
  <si>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</si>
  <si>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</si>
  <si>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</si>
  <si>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</si>
  <si>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</si>
  <si>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</si>
  <si>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</si>
  <si>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</si>
  <si>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</si>
  <si>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</si>
  <si>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</si>
  <si>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</si>
  <si>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</si>
  <si>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</si>
  <si>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</si>
  <si>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</si>
  <si>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</si>
  <si>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</si>
  <si>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</si>
  <si>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</si>
  <si>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</si>
  <si>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</si>
  <si>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</si>
  <si>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</si>
  <si>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</si>
  <si>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</si>
  <si>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</si>
  <si>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</si>
  <si>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</si>
  <si>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</si>
  <si>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</si>
  <si>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</si>
  <si>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</si>
  <si>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</si>
  <si>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</si>
  <si>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</si>
  <si>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</si>
  <si>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</si>
  <si>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</si>
  <si>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</si>
  <si>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</si>
  <si>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</si>
  <si>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</si>
  <si>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</si>
  <si>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</si>
  <si>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</si>
  <si>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</si>
  <si>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</si>
  <si>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</si>
  <si>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</si>
  <si>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</si>
  <si>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</si>
  <si>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</si>
  <si>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</si>
  <si>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</si>
  <si>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</si>
  <si>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</si>
  <si>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</si>
  <si>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</si>
  <si>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</si>
  <si>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</si>
  <si>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</si>
  <si>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</si>
  <si>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</si>
  <si>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</si>
  <si>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</si>
  <si>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</si>
  <si>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</si>
  <si>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</si>
  <si>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</si>
  <si>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</si>
  <si>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</si>
  <si>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</si>
  <si>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</si>
  <si>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</si>
  <si>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</si>
  <si>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</si>
  <si>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</si>
  <si>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</si>
  <si>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</si>
  <si>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</si>
  <si>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</si>
  <si>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</si>
  <si>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</si>
  <si>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</si>
  <si>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</si>
  <si>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</si>
  <si>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</si>
  <si>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</si>
  <si>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</si>
  <si>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</si>
  <si>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</si>
  <si>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</si>
  <si>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</si>
  <si>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</si>
  <si>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</si>
  <si>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</si>
  <si>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</si>
  <si>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</si>
  <si>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</si>
  <si>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</si>
  <si>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</si>
  <si>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</si>
  <si>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</si>
  <si>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</si>
  <si>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</si>
  <si>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</si>
  <si>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</si>
  <si>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</si>
  <si>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</si>
  <si>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</si>
  <si>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</si>
  <si>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</si>
  <si>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</si>
  <si>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</si>
  <si>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</si>
  <si>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</si>
  <si>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</si>
  <si>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</si>
  <si>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</si>
  <si>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</si>
  <si>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</si>
  <si>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</si>
  <si>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</si>
  <si>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</si>
  <si>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</si>
  <si>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</si>
  <si>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</si>
  <si>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</si>
  <si>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</si>
  <si>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</si>
  <si>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</si>
  <si>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</si>
  <si>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</si>
  <si>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</si>
  <si>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</si>
  <si>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</si>
  <si>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</si>
  <si>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</si>
  <si>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</si>
  <si>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</si>
  <si>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</si>
  <si>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</si>
  <si>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</si>
  <si>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</si>
  <si>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</si>
  <si>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</si>
  <si>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</si>
  <si>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</si>
  <si>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</si>
  <si>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</si>
  <si>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</si>
  <si>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</si>
  <si>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</si>
  <si>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</si>
  <si>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</si>
  <si>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</si>
  <si>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</si>
  <si>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</si>
  <si>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</si>
  <si>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</si>
  <si>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</si>
  <si>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</si>
  <si>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</si>
  <si>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</si>
  <si>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</si>
  <si>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</si>
  <si>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</si>
  <si>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</si>
  <si>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</si>
  <si>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</si>
  <si>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</si>
  <si>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</si>
  <si>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</si>
  <si>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</si>
  <si>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</si>
  <si>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</si>
  <si>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</si>
  <si>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</si>
  <si>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</si>
  <si>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</si>
  <si>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</si>
  <si>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</si>
  <si>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</si>
  <si>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</si>
  <si>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</si>
  <si>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</si>
  <si>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</si>
  <si>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</si>
  <si>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</si>
  <si>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</si>
  <si>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</si>
  <si>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</si>
  <si>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</si>
  <si>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</si>
  <si>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</si>
  <si>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</si>
  <si>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</si>
  <si>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</si>
  <si>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</si>
  <si>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</si>
  <si>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</si>
  <si>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</si>
  <si>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</si>
  <si>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</si>
  <si>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</si>
  <si>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</si>
  <si>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</si>
  <si>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</si>
  <si>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</si>
  <si>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</si>
  <si>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</si>
  <si>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</si>
  <si>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</si>
  <si>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</si>
  <si>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</si>
  <si>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</si>
  <si>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</si>
  <si>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</si>
  <si>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</si>
  <si>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</si>
  <si>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</si>
  <si>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</si>
  <si>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</si>
  <si>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</si>
  <si>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</si>
  <si>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</si>
  <si>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</si>
  <si>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</si>
  <si>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</si>
  <si>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</si>
  <si>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</si>
  <si>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</si>
  <si>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</si>
  <si>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</si>
  <si>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</si>
  <si>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</si>
  <si>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</si>
  <si>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</si>
  <si>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</si>
  <si>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</si>
  <si>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</si>
  <si>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</si>
  <si>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</si>
  <si>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</si>
  <si>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</si>
  <si>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</si>
  <si>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</si>
  <si>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</si>
  <si>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</si>
  <si>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</si>
  <si>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</si>
  <si>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</si>
  <si>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</si>
  <si>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</si>
  <si>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</si>
  <si>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</si>
  <si>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</si>
  <si>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</si>
  <si>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</si>
  <si>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</si>
  <si>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</si>
  <si>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</si>
  <si>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</si>
  <si>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</si>
  <si>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</si>
  <si>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</si>
  <si>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</si>
  <si>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</si>
  <si>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</si>
  <si>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</si>
  <si>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</si>
  <si>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</si>
  <si>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</si>
  <si>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</si>
  <si>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</si>
  <si>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</si>
  <si>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</si>
  <si>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</si>
  <si>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</si>
  <si>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</si>
  <si>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</si>
  <si>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</si>
  <si>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</si>
  <si>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</si>
  <si>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</si>
  <si>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</si>
  <si>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</si>
  <si>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</si>
  <si>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</si>
  <si>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</si>
  <si>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</si>
  <si>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</si>
  <si>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</si>
  <si>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</si>
  <si>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</si>
  <si>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</si>
  <si>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</si>
  <si>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</si>
  <si>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</si>
  <si>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</si>
  <si>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</si>
  <si>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</si>
  <si>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</si>
  <si>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</si>
  <si>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</si>
  <si>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</si>
  <si>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</si>
  <si>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</si>
  <si>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</si>
  <si>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</si>
  <si>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</si>
  <si>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</si>
  <si>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</si>
  <si>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</si>
  <si>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</si>
  <si>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</si>
  <si>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</si>
  <si>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</si>
  <si>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</si>
  <si>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</si>
  <si>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</si>
  <si>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</si>
  <si>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</si>
  <si>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</si>
  <si>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</si>
  <si>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</si>
  <si>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</si>
  <si>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</si>
  <si>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</si>
  <si>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</si>
  <si>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</si>
  <si>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</si>
  <si>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</si>
  <si>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</si>
  <si>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</si>
  <si>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</si>
  <si>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</si>
  <si>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</si>
  <si>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</si>
  <si>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</si>
  <si>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</si>
  <si>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</si>
  <si>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</si>
  <si>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</si>
  <si>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</si>
  <si>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</si>
  <si>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</si>
  <si>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</si>
  <si>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</si>
  <si>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</si>
  <si>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</si>
  <si>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</si>
  <si>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</si>
  <si>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</si>
  <si>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</si>
  <si>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</si>
  <si>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</si>
  <si>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</si>
  <si>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</si>
  <si>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</si>
  <si>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</si>
  <si>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</si>
  <si>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</si>
  <si>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</si>
  <si>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</si>
  <si>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</si>
  <si>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</si>
  <si>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</si>
  <si>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</si>
  <si>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</si>
  <si>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</si>
  <si>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</si>
  <si>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</si>
  <si>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</si>
  <si>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</si>
  <si>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</si>
  <si>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</si>
  <si>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</si>
  <si>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</si>
  <si>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</si>
  <si>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</si>
  <si>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</si>
  <si>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</si>
  <si>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</si>
  <si>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</si>
  <si>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</si>
  <si>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</si>
  <si>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</si>
  <si>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</si>
  <si>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</si>
  <si>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</si>
  <si>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</si>
  <si>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</si>
  <si>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</si>
  <si>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</si>
  <si>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</si>
  <si>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</si>
  <si>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</si>
  <si>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</si>
  <si>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</si>
  <si>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</si>
  <si>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</si>
  <si>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</si>
  <si>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</si>
  <si>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</si>
  <si>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</si>
  <si>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</si>
  <si>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</si>
  <si>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</si>
  <si>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</si>
  <si>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</si>
  <si>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</si>
  <si>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</si>
  <si>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</si>
  <si>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</si>
  <si>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</si>
  <si>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</si>
  <si>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</si>
  <si>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</si>
  <si>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</si>
  <si>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</si>
  <si>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</si>
  <si>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</si>
  <si>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</si>
  <si>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</si>
  <si>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</si>
  <si>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</si>
  <si>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</si>
  <si>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</si>
  <si>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</si>
  <si>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</si>
  <si>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</si>
  <si>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</si>
  <si>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</si>
  <si>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</si>
  <si>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</si>
  <si>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</si>
  <si>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</si>
  <si>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</si>
  <si>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</si>
  <si>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</si>
  <si>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</si>
  <si>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</si>
  <si>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</si>
  <si>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</si>
  <si>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</si>
  <si>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</si>
  <si>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</si>
  <si>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</si>
  <si>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</si>
  <si>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</si>
  <si>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</si>
  <si>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</si>
  <si>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</si>
  <si>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</si>
  <si>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</si>
  <si>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</si>
  <si>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</si>
  <si>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</si>
  <si>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</si>
  <si>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</si>
  <si>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</si>
  <si>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</si>
  <si>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</si>
  <si>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</si>
  <si>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</si>
  <si>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</si>
  <si>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</si>
  <si>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</si>
  <si>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</si>
  <si>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</si>
  <si>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</si>
  <si>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</si>
  <si>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</si>
  <si>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</si>
  <si>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</si>
  <si>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</si>
  <si>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</si>
  <si>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</si>
  <si>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</si>
  <si>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</si>
  <si>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</si>
  <si>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</si>
  <si>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</si>
  <si>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</si>
  <si>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</si>
  <si>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</si>
  <si>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</si>
  <si>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</si>
  <si>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</si>
  <si>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</si>
  <si>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</si>
  <si>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</si>
  <si>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</si>
  <si>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</si>
  <si>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</si>
  <si>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</si>
  <si>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</si>
  <si>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</si>
  <si>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</si>
  <si>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</si>
  <si>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</si>
  <si>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</si>
  <si>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</si>
  <si>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</si>
  <si>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</si>
  <si>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</si>
  <si>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</si>
  <si>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</si>
  <si>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</si>
  <si>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</si>
  <si>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</si>
  <si>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</si>
  <si>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</si>
  <si>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</si>
  <si>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</si>
  <si>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</si>
  <si>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</si>
  <si>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</si>
  <si>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</si>
  <si>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</si>
  <si>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</si>
  <si>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</si>
  <si>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</si>
  <si>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</si>
  <si>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</si>
  <si>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</si>
  <si>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</si>
  <si>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</si>
  <si>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</si>
  <si>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</si>
  <si>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</si>
  <si>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</si>
  <si>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</si>
  <si>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</si>
  <si>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</si>
  <si>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</si>
  <si>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</si>
  <si>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</si>
  <si>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</si>
  <si>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</si>
  <si>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</si>
  <si>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</si>
  <si>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</si>
  <si>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</si>
  <si>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</si>
  <si>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</si>
  <si>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</si>
  <si>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</si>
  <si>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</si>
  <si>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</si>
  <si>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</si>
  <si>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</si>
  <si>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</si>
  <si>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</si>
  <si>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</si>
  <si>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</si>
  <si>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</si>
  <si>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</si>
  <si>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</si>
  <si>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</si>
  <si>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</si>
  <si>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</si>
  <si>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</si>
  <si>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</si>
  <si>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</si>
  <si>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</si>
  <si>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</si>
  <si>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</si>
  <si>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</si>
  <si>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</si>
  <si>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</si>
  <si>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</si>
  <si>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</si>
  <si>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</si>
  <si>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</si>
  <si>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</si>
  <si>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</si>
  <si>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</si>
  <si>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</si>
  <si>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</si>
  <si>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</si>
  <si>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</si>
  <si>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</si>
  <si>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</si>
  <si>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</si>
  <si>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</si>
  <si>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</si>
  <si>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</si>
  <si>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</si>
  <si>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</si>
  <si>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</si>
  <si>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</si>
  <si>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</si>
  <si>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</si>
  <si>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</si>
  <si>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</si>
  <si>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</si>
  <si>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</si>
  <si>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</si>
  <si>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</si>
  <si>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</si>
  <si>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</si>
  <si>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</si>
  <si>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</si>
  <si>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</si>
  <si>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</si>
  <si>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</si>
  <si>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</si>
  <si>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</si>
  <si>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</si>
  <si>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</si>
  <si>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</si>
  <si>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</si>
  <si>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</si>
  <si>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</si>
  <si>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</si>
  <si>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</si>
  <si>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</si>
  <si>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</si>
  <si>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</si>
  <si>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</si>
  <si>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</si>
  <si>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</si>
  <si>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</si>
  <si>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</si>
  <si>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</si>
  <si>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</si>
  <si>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</si>
  <si>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</si>
  <si>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</si>
  <si>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</si>
  <si>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</si>
  <si>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</si>
  <si>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</si>
  <si>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</si>
  <si>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</si>
  <si>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</si>
  <si>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</si>
  <si>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</si>
  <si>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</si>
  <si>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</si>
  <si>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</si>
  <si>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</si>
  <si>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</si>
  <si>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</si>
  <si>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</si>
  <si>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</si>
  <si>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</si>
  <si>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</si>
  <si>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</si>
  <si>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</si>
  <si>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</si>
  <si>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</si>
  <si>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</si>
  <si>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</si>
  <si>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</si>
  <si>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</si>
  <si>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</si>
  <si>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</si>
  <si>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</si>
  <si>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</si>
  <si>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</si>
  <si>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</si>
  <si>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</si>
  <si>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</si>
  <si>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</si>
  <si>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</si>
  <si>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</si>
  <si>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</si>
  <si>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</si>
  <si>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</si>
  <si>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</si>
  <si>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</si>
  <si>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</si>
  <si>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</si>
  <si>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</si>
  <si>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</si>
  <si>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</si>
  <si>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</si>
  <si>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</si>
  <si>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</si>
  <si>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</si>
  <si>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</si>
  <si>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</si>
  <si>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</si>
  <si>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</si>
  <si>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</si>
  <si>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</si>
  <si>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</si>
  <si>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</si>
  <si>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</si>
  <si>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</si>
  <si>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</si>
  <si>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</si>
  <si>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</si>
  <si>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</si>
  <si>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</si>
  <si>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</si>
  <si>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</si>
  <si>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</si>
  <si>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</si>
  <si>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</si>
  <si>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</si>
  <si>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</si>
  <si>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</si>
  <si>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</si>
  <si>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</si>
  <si>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</si>
  <si>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</si>
  <si>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</si>
  <si>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</si>
  <si>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</si>
  <si>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</si>
  <si>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</si>
  <si>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</si>
  <si>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</si>
  <si>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</si>
  <si>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</si>
  <si>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</si>
  <si>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</si>
  <si>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</si>
  <si>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</si>
  <si>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</si>
  <si>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</si>
  <si>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</si>
  <si>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</si>
  <si>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</si>
  <si>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</si>
  <si>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</si>
  <si>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</si>
  <si>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</si>
  <si>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</si>
  <si>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</si>
  <si>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</si>
  <si>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</si>
  <si>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</si>
  <si>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</si>
  <si>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</si>
  <si>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</si>
  <si>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</si>
  <si>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</si>
  <si>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</si>
  <si>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</si>
  <si>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</si>
  <si>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</si>
  <si>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</si>
  <si>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</si>
  <si>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</si>
  <si>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</si>
  <si>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</si>
  <si>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</si>
  <si>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</si>
  <si>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</si>
  <si>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</si>
  <si>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</si>
  <si>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</si>
  <si>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</si>
  <si>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</si>
  <si>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</si>
  <si>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</si>
  <si>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</si>
  <si>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</si>
  <si>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</si>
  <si>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</si>
  <si>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</si>
  <si>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</si>
  <si>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</si>
  <si>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</si>
  <si>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</si>
  <si>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</si>
  <si>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</si>
  <si>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</si>
  <si>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</si>
  <si>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</si>
  <si>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</si>
  <si>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</si>
  <si>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</si>
  <si>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</si>
  <si>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</si>
  <si>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</si>
  <si>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</si>
  <si>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</si>
  <si>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</si>
  <si>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</si>
  <si>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</si>
  <si>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</si>
  <si>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</si>
  <si>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</si>
  <si>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</si>
  <si>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</si>
  <si>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</si>
  <si>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</si>
  <si>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</si>
  <si>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</si>
  <si>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</si>
  <si>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</si>
  <si>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</si>
  <si>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</si>
  <si>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</si>
  <si>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</si>
  <si>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</si>
  <si>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</si>
  <si>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</si>
  <si>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</si>
  <si>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</si>
  <si>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</si>
  <si>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</si>
  <si>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</si>
  <si>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</si>
  <si>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</si>
  <si>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</si>
  <si>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</si>
  <si>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</si>
  <si>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</si>
  <si>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</si>
  <si>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</si>
  <si>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</si>
  <si>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</si>
  <si>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</si>
  <si>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</si>
  <si>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</si>
  <si>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</si>
  <si>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</si>
  <si>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</si>
  <si>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</si>
  <si>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</si>
  <si>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</si>
  <si>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</si>
  <si>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</si>
  <si>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</si>
  <si>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</si>
  <si>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</si>
  <si>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</si>
  <si>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</si>
  <si>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</si>
  <si>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</si>
  <si>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</si>
  <si>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</si>
  <si>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</si>
  <si>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</si>
  <si>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</si>
  <si>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</si>
  <si>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</si>
  <si>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</si>
  <si>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</si>
  <si>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</si>
  <si>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</si>
  <si>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</si>
  <si>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</si>
  <si>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</si>
  <si>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</si>
  <si>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</si>
  <si>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</si>
  <si>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</si>
  <si>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</si>
  <si>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</si>
  <si>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</si>
  <si>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</si>
  <si>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</si>
  <si>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</si>
  <si>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</si>
  <si>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</si>
  <si>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</si>
  <si>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</si>
  <si>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</si>
  <si>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</si>
  <si>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</si>
  <si>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</si>
  <si>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</si>
  <si>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</si>
  <si>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</si>
  <si>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</si>
  <si>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</si>
  <si>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</si>
  <si>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</si>
  <si>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</si>
  <si>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</si>
  <si>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</si>
  <si>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</si>
  <si>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</si>
  <si>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</si>
  <si>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</si>
  <si>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</si>
  <si>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</si>
  <si>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</si>
  <si>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</si>
  <si>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</si>
  <si>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</si>
  <si>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</si>
  <si>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</si>
  <si>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</si>
  <si>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</si>
  <si>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</si>
  <si>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</si>
  <si>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</si>
  <si>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</si>
  <si>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</si>
  <si>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</si>
  <si>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</si>
  <si>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</si>
  <si>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</si>
  <si>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</si>
  <si>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</si>
  <si>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</si>
  <si>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</si>
  <si>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</si>
  <si>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</si>
  <si>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</si>
  <si>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</si>
  <si>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</si>
  <si>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</si>
  <si>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</si>
  <si>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</si>
  <si>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</si>
  <si>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</si>
  <si>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</si>
  <si>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</si>
  <si>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</si>
  <si>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</si>
  <si>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</si>
  <si>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</si>
  <si>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</si>
  <si>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</si>
  <si>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</si>
  <si>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</si>
  <si>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</si>
  <si>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</si>
  <si>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</si>
  <si>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</si>
  <si>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</si>
  <si>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</si>
  <si>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</si>
  <si>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</si>
  <si>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</si>
  <si>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</si>
  <si>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</si>
  <si>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</si>
  <si>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</si>
  <si>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</si>
  <si>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</si>
  <si>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</si>
  <si>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</si>
  <si>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</si>
  <si>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</si>
  <si>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</si>
  <si>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</si>
  <si>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</si>
  <si>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</si>
  <si>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</si>
  <si>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</si>
  <si>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</si>
  <si>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</si>
  <si>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</si>
  <si>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</si>
  <si>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</si>
  <si>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</si>
  <si>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</si>
  <si>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</si>
  <si>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</si>
  <si>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</si>
  <si>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</si>
  <si>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</si>
  <si>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</si>
  <si>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</si>
  <si>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</si>
  <si>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</si>
  <si>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</si>
  <si>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</si>
  <si>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</si>
  <si>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</si>
  <si>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</si>
  <si>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</si>
  <si>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</si>
  <si>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</si>
  <si>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</si>
  <si>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</si>
  <si>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</si>
  <si>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</si>
  <si>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</si>
  <si>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</si>
  <si>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</si>
  <si>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</si>
  <si>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</si>
  <si>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</si>
  <si>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</si>
  <si>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</si>
  <si>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</si>
  <si>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</si>
  <si>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</si>
  <si>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</si>
  <si>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</si>
  <si>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</si>
  <si>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</si>
  <si>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</si>
  <si>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</si>
  <si>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</si>
  <si>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</si>
  <si>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</si>
  <si>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</si>
  <si>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</si>
  <si>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</si>
  <si>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</si>
  <si>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</si>
  <si>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</si>
  <si>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</si>
  <si>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</si>
  <si>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</si>
  <si>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</si>
  <si>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</si>
  <si>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</si>
  <si>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</si>
  <si>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</si>
  <si>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</si>
  <si>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</si>
  <si>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</si>
  <si>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</si>
  <si>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</si>
  <si>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</si>
  <si>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</si>
  <si>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</si>
  <si>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</si>
  <si>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</si>
  <si>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</si>
  <si>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</si>
  <si>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</si>
  <si>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</si>
  <si>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</si>
  <si>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</si>
  <si>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</si>
  <si>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</si>
  <si>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</si>
  <si>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</si>
  <si>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</si>
  <si>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</si>
  <si>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</si>
  <si>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</si>
  <si>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</si>
  <si>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</si>
  <si>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</si>
  <si>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</si>
  <si>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</si>
  <si>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</si>
  <si>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</si>
  <si>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</si>
  <si>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</si>
  <si>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</si>
  <si>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</si>
  <si>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</si>
  <si>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</si>
  <si>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</si>
  <si>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</si>
  <si>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</si>
  <si>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</si>
  <si>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</si>
  <si>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</si>
  <si>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</si>
  <si>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</si>
  <si>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</si>
  <si>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</si>
  <si>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</si>
  <si>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</si>
  <si>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</si>
  <si>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</si>
  <si>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</si>
  <si>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</si>
  <si>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</si>
  <si>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</si>
  <si>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</si>
  <si>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</si>
  <si>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</si>
  <si>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</si>
  <si>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</si>
  <si>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</si>
  <si>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</si>
  <si>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</si>
  <si>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</si>
  <si>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</si>
  <si>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</si>
  <si>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</si>
  <si>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</si>
  <si>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</si>
  <si>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</si>
  <si>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</si>
  <si>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</si>
  <si>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</si>
  <si>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</si>
  <si>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</si>
  <si>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</si>
  <si>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</si>
  <si>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</si>
  <si>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</si>
  <si>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</si>
  <si>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</si>
  <si>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</si>
  <si>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</si>
  <si>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</si>
  <si>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</si>
  <si>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</si>
  <si>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</si>
  <si>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</si>
  <si>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</si>
  <si>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</si>
  <si>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</si>
  <si>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</si>
  <si>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</si>
  <si>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</si>
  <si>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</si>
  <si>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</si>
  <si>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</si>
  <si>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</si>
  <si>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</si>
  <si>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</si>
  <si>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</si>
  <si>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</si>
  <si>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</si>
  <si>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</si>
  <si>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</si>
  <si>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</si>
  <si>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</si>
  <si>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</si>
  <si>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</si>
  <si>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</si>
  <si>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</si>
  <si>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</si>
  <si>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</si>
  <si>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</si>
  <si>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</si>
  <si>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</si>
  <si>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</si>
  <si>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</si>
  <si>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</si>
  <si>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</si>
  <si>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</si>
  <si>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</si>
  <si>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</si>
  <si>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</si>
  <si>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</si>
  <si>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</si>
  <si>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</si>
  <si>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</si>
  <si>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</si>
  <si>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</si>
  <si>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</si>
  <si>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</si>
  <si>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</si>
  <si>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</si>
  <si>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</si>
  <si>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</si>
  <si>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</si>
  <si>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</si>
  <si>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</si>
  <si>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</si>
  <si>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</si>
  <si>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</si>
  <si>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</si>
  <si>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</si>
  <si>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</si>
  <si>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</si>
  <si>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</si>
  <si>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</si>
  <si>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</si>
  <si>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</si>
  <si>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</si>
  <si>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</si>
  <si>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</si>
  <si>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</si>
  <si>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</si>
  <si>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</si>
  <si>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</si>
  <si>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</si>
  <si>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</si>
  <si>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</si>
  <si>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</si>
  <si>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</si>
  <si>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</si>
  <si>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</si>
  <si>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</si>
  <si>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</si>
  <si>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</si>
  <si>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</si>
  <si>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</si>
  <si>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</si>
  <si>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</si>
  <si>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</si>
  <si>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</si>
  <si>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</si>
  <si>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</si>
  <si>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</si>
  <si>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</si>
  <si>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</si>
  <si>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</si>
  <si>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</si>
  <si>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</si>
  <si>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</si>
  <si>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</si>
  <si>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</si>
  <si>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</si>
  <si>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</si>
  <si>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</si>
  <si>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</si>
  <si>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</si>
  <si>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</si>
  <si>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</si>
  <si>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</si>
  <si>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</si>
  <si>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</si>
  <si>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</si>
  <si>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</si>
  <si>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</si>
  <si>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</si>
  <si>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</si>
  <si>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</si>
  <si>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</si>
  <si>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</si>
  <si>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</si>
  <si>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</si>
  <si>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</si>
  <si>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</si>
  <si>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</si>
  <si>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</si>
  <si>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</si>
  <si>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</si>
  <si>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</si>
  <si>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</si>
  <si>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</si>
  <si>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</si>
  <si>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</si>
  <si>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</si>
  <si>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</si>
  <si>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</si>
  <si>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</si>
  <si>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</si>
  <si>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</si>
  <si>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</si>
  <si>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</si>
  <si>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</si>
  <si>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</si>
  <si>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</si>
  <si>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</si>
  <si>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</si>
  <si>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</si>
  <si>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</si>
  <si>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</si>
  <si>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</si>
  <si>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</si>
  <si>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</si>
  <si>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</si>
  <si>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</si>
  <si>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</si>
  <si>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</si>
  <si>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</si>
  <si>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</si>
  <si>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</si>
  <si>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</si>
  <si>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</si>
  <si>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</si>
  <si>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</si>
  <si>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</si>
  <si>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</si>
  <si>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</si>
  <si>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</si>
  <si>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</si>
  <si>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</si>
  <si>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</si>
  <si>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</si>
  <si>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</si>
  <si>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</si>
  <si>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</si>
  <si>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</si>
  <si>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</si>
  <si>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</si>
  <si>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</si>
  <si>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</si>
  <si>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</si>
  <si>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</si>
  <si>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</si>
  <si>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</si>
  <si>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</si>
  <si>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</si>
  <si>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</si>
  <si>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</si>
  <si>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</si>
  <si>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</si>
  <si>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</si>
  <si>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</si>
  <si>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</si>
  <si>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</si>
  <si>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</si>
  <si>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</si>
  <si>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</si>
  <si>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</si>
  <si>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</si>
  <si>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</si>
  <si>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</si>
  <si>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</si>
  <si>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</si>
  <si>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</si>
  <si>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</si>
  <si>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</si>
  <si>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</si>
  <si>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</si>
  <si>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</si>
  <si>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</si>
  <si>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</si>
  <si>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</si>
  <si>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</si>
  <si>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</si>
  <si>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</si>
  <si>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</si>
  <si>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</si>
  <si>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</si>
  <si>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</si>
  <si>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</si>
  <si>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</si>
  <si>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</si>
  <si>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</si>
  <si>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</si>
  <si>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</si>
  <si>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</si>
  <si>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</si>
  <si>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</si>
  <si>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</si>
  <si>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</si>
  <si>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</si>
  <si>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</si>
  <si>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</si>
  <si>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</si>
  <si>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</si>
  <si>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</si>
  <si>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</si>
  <si>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</si>
  <si>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</si>
  <si>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</si>
  <si>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</si>
  <si>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</si>
  <si>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</si>
  <si>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</si>
  <si>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</si>
  <si>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</si>
  <si>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</si>
  <si>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</si>
  <si>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</si>
  <si>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</si>
  <si>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</si>
  <si>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</si>
  <si>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</si>
  <si>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</si>
  <si>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</si>
  <si>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</si>
  <si>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</si>
  <si>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</si>
  <si>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</si>
  <si>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</si>
  <si>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</si>
  <si>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</si>
  <si>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</si>
  <si>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</si>
  <si>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</si>
  <si>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</si>
  <si>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</si>
  <si>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</si>
  <si>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</si>
  <si>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</si>
  <si>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</si>
  <si>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</si>
  <si>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</si>
  <si>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</si>
  <si>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</si>
  <si>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</si>
  <si>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</si>
  <si>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</si>
  <si>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</si>
  <si>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</si>
  <si>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</si>
  <si>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</si>
  <si>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</si>
  <si>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</si>
  <si>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</si>
  <si>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</si>
  <si>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</si>
  <si>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</si>
  <si>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</si>
  <si>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</si>
  <si>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</si>
  <si>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</si>
  <si>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</si>
  <si>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</si>
  <si>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</si>
  <si>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</si>
  <si>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</si>
  <si>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</si>
  <si>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</si>
  <si>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</si>
  <si>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</si>
  <si>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</si>
  <si>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</si>
  <si>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</si>
  <si>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</si>
  <si>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</si>
  <si>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</si>
  <si>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</si>
  <si>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</si>
  <si>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</si>
  <si>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</si>
  <si>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</si>
  <si>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</si>
  <si>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</si>
  <si>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</si>
  <si>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</si>
  <si>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</si>
  <si>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</si>
  <si>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</si>
  <si>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</si>
  <si>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</si>
  <si>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</si>
  <si>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</si>
  <si>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</si>
  <si>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</si>
  <si>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</si>
  <si>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</si>
  <si>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</si>
  <si>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</si>
  <si>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</si>
  <si>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</si>
  <si>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</si>
  <si>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</si>
  <si>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</si>
  <si>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</si>
  <si>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</si>
  <si>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</si>
  <si>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</si>
  <si>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</si>
  <si>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</si>
  <si>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</si>
  <si>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</si>
  <si>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</si>
  <si>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</si>
  <si>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</si>
  <si>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</si>
  <si>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</si>
  <si>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</si>
  <si>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</si>
  <si>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</si>
  <si>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</si>
  <si>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</si>
  <si>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</si>
  <si>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</si>
  <si>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</si>
  <si>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</si>
  <si>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</si>
  <si>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</si>
  <si>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</si>
  <si>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</si>
  <si>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</si>
  <si>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</si>
  <si>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</si>
  <si>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</si>
  <si>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</si>
  <si>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</si>
  <si>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</si>
  <si>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</si>
  <si>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</si>
  <si>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</si>
  <si>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</si>
  <si>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</si>
  <si>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</si>
  <si>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</si>
  <si>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</si>
  <si>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</si>
  <si>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</si>
  <si>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</si>
  <si>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</si>
  <si>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</si>
  <si>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</si>
  <si>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</si>
  <si>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</si>
  <si>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</si>
  <si>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</si>
  <si>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</si>
  <si>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</si>
  <si>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</si>
  <si>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</si>
  <si>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</si>
  <si>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</si>
  <si>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</si>
  <si>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</si>
  <si>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</si>
  <si>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</si>
  <si>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</si>
  <si>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</si>
  <si>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</si>
  <si>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</si>
  <si>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</si>
  <si>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</si>
  <si>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</si>
  <si>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</si>
  <si>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</si>
  <si>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</si>
  <si>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</si>
  <si>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</si>
  <si>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</si>
  <si>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</si>
  <si>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</si>
  <si>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</si>
  <si>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</si>
  <si>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</si>
  <si>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</si>
  <si>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</si>
  <si>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</si>
  <si>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</si>
  <si>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</si>
  <si>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</si>
  <si>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</si>
  <si>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</si>
  <si>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</si>
  <si>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</si>
  <si>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</si>
  <si>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</si>
  <si>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</si>
  <si>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</si>
  <si>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</si>
  <si>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</si>
  <si>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</si>
  <si>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</si>
  <si>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</si>
  <si>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</si>
  <si>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</si>
  <si>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</si>
  <si>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</si>
  <si>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</si>
  <si>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</si>
  <si>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</si>
  <si>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</si>
  <si>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</si>
  <si>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</si>
  <si>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</si>
  <si>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</si>
  <si>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</si>
  <si>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</si>
  <si>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</si>
  <si>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</si>
  <si>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</si>
  <si>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</si>
  <si>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</si>
  <si>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</si>
  <si>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</si>
  <si>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</si>
  <si>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</si>
  <si>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</si>
  <si>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</si>
  <si>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</si>
  <si>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</si>
  <si>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</si>
  <si>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</si>
  <si>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</si>
  <si>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</si>
  <si>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</si>
  <si>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</si>
  <si>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</si>
  <si>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</si>
  <si>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</si>
  <si>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</si>
  <si>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</si>
  <si>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</si>
  <si>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</si>
  <si>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</si>
  <si>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</si>
  <si>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</si>
  <si>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</si>
  <si>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</si>
  <si>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</si>
  <si>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</si>
  <si>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</si>
  <si>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</si>
  <si>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</si>
  <si>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</si>
  <si>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</si>
  <si>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</si>
  <si>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</si>
  <si>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</si>
  <si>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</si>
  <si>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</si>
  <si>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</si>
  <si>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</si>
  <si>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</si>
  <si>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</si>
  <si>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</si>
  <si>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</si>
  <si>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</si>
  <si>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</si>
  <si>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</si>
  <si>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</si>
  <si>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</si>
  <si>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</si>
  <si>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</si>
  <si>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</si>
  <si>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</si>
  <si>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</si>
  <si>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</si>
  <si>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</si>
  <si>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</si>
  <si>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</si>
  <si>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</si>
  <si>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</si>
  <si>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</si>
  <si>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</si>
  <si>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</si>
  <si>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</si>
  <si>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</si>
  <si>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</si>
  <si>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</si>
  <si>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</si>
  <si>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</si>
  <si>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</si>
  <si>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</si>
  <si>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</si>
  <si>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</si>
  <si>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</si>
  <si>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</si>
  <si>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</si>
  <si>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</si>
  <si>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</si>
  <si>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</si>
  <si>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</si>
  <si>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</si>
  <si>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</si>
  <si>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</si>
  <si>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</si>
  <si>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</si>
  <si>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</si>
  <si>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</si>
  <si>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</si>
  <si>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</si>
  <si>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</si>
  <si>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</si>
  <si>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</si>
  <si>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</si>
  <si>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</si>
  <si>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</si>
  <si>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</si>
  <si>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</si>
  <si>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</si>
  <si>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</si>
  <si>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</si>
  <si>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</si>
  <si>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</si>
  <si>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</si>
  <si>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</si>
  <si>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</si>
  <si>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</si>
  <si>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</si>
  <si>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</si>
  <si>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</si>
  <si>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</si>
  <si>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</si>
  <si>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</si>
  <si>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</si>
  <si>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</si>
  <si>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</si>
  <si>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</si>
  <si>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</si>
  <si>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</si>
  <si>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</si>
  <si>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</si>
  <si>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</si>
  <si>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</si>
  <si>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</si>
  <si>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</si>
  <si>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</si>
  <si>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</si>
  <si>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</si>
  <si>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</si>
  <si>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</si>
  <si>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</si>
  <si>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</si>
  <si>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</si>
  <si>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</si>
  <si>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</si>
  <si>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</si>
  <si>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</si>
  <si>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</si>
  <si>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</si>
  <si>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</si>
  <si>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</si>
  <si>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</si>
  <si>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</si>
  <si>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</si>
  <si>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</si>
  <si>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</si>
  <si>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</si>
  <si>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</si>
  <si>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</si>
  <si>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</si>
  <si>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</si>
  <si>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</si>
  <si>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</si>
  <si>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</si>
  <si>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</si>
  <si>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</si>
  <si>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</si>
  <si>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</si>
  <si>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</si>
  <si>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</si>
  <si>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</si>
  <si>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</si>
  <si>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</si>
  <si>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</si>
  <si>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</si>
  <si>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</si>
  <si>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</si>
  <si>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</si>
  <si>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</si>
  <si>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</si>
  <si>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</si>
  <si>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</si>
  <si>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</si>
  <si>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</si>
  <si>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</si>
  <si>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</si>
  <si>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</si>
  <si>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</si>
  <si>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</si>
  <si>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</si>
  <si>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</si>
  <si>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</si>
  <si>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</si>
  <si>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</si>
  <si>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</si>
  <si>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</si>
  <si>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</si>
  <si>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</si>
  <si>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</si>
  <si>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</si>
  <si>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</si>
  <si>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</si>
  <si>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</si>
  <si>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</si>
  <si>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</si>
  <si>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</si>
  <si>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</si>
  <si>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</si>
  <si>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</si>
  <si>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</si>
  <si>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</si>
  <si>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</si>
  <si>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</si>
  <si>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</si>
  <si>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</si>
  <si>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</si>
  <si>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</si>
  <si>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</si>
  <si>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</si>
  <si>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</si>
  <si>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</si>
  <si>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</si>
  <si>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</si>
  <si>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</si>
  <si>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</si>
  <si>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</si>
  <si>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</si>
  <si>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</si>
  <si>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</si>
  <si>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</si>
  <si>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</si>
  <si>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</si>
  <si>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</si>
  <si>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</si>
  <si>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</si>
  <si>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</si>
  <si>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</si>
  <si>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</si>
  <si>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</si>
  <si>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</si>
  <si>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</si>
  <si>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</si>
  <si>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</si>
  <si>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</si>
  <si>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</si>
  <si>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</si>
  <si>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</si>
  <si>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</si>
  <si>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</si>
  <si>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</si>
  <si>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</si>
  <si>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</si>
  <si>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</si>
  <si>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</si>
  <si>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</si>
  <si>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</si>
  <si>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</si>
  <si>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</si>
  <si>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</si>
  <si>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</si>
  <si>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</si>
  <si>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</si>
  <si>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</si>
  <si>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</si>
  <si>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</si>
  <si>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</si>
  <si>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</si>
  <si>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</si>
  <si>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</si>
  <si>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</si>
  <si>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</si>
  <si>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</si>
  <si>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</si>
  <si>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</si>
  <si>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</si>
  <si>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</si>
  <si>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</si>
  <si>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</si>
  <si>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</si>
  <si>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</si>
  <si>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</si>
  <si>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</si>
  <si>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</si>
  <si>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</si>
  <si>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</si>
  <si>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</si>
  <si>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</si>
  <si>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</si>
  <si>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</si>
  <si>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</si>
  <si>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</si>
  <si>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</si>
  <si>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</si>
  <si>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</si>
  <si>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</si>
  <si>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</si>
  <si>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</si>
  <si>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</si>
  <si>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</si>
  <si>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</si>
  <si>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</si>
  <si>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</si>
  <si>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</si>
  <si>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</si>
  <si>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</si>
  <si>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</si>
  <si>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</si>
  <si>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</si>
  <si>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</si>
  <si>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</si>
  <si>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</si>
  <si>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</si>
  <si>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</si>
  <si>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</si>
  <si>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</si>
  <si>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</si>
  <si>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</si>
  <si>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</si>
  <si>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</si>
  <si>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</si>
  <si>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</si>
  <si>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</si>
  <si>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</si>
  <si>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</si>
  <si>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</si>
  <si>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</si>
  <si>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</si>
  <si>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</si>
  <si>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</si>
  <si>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</si>
  <si>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</si>
  <si>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</si>
  <si>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</si>
  <si>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</si>
  <si>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</si>
  <si>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</si>
  <si>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</si>
  <si>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</si>
  <si>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</si>
  <si>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</si>
  <si>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</si>
  <si>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</si>
  <si>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</si>
  <si>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</si>
  <si>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</si>
  <si>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</si>
  <si>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</si>
  <si>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</si>
  <si>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</si>
  <si>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</si>
  <si>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</si>
  <si>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</si>
  <si>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</si>
  <si>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</si>
  <si>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</si>
  <si>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</si>
  <si>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</si>
  <si>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</si>
  <si>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</si>
  <si>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</si>
  <si>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</si>
  <si>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</si>
  <si>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</si>
  <si>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</si>
  <si>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</si>
  <si>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</si>
  <si>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</si>
  <si>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</si>
  <si>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</si>
  <si>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</si>
  <si>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</si>
  <si>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</si>
  <si>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</si>
  <si>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</si>
  <si>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</si>
  <si>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</si>
  <si>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</si>
  <si>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</si>
  <si>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</si>
  <si>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</si>
  <si>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</si>
  <si>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</si>
  <si>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</si>
  <si>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</si>
  <si>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</si>
  <si>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</si>
  <si>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</si>
  <si>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</si>
  <si>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</si>
  <si>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</si>
  <si>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</si>
  <si>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</si>
  <si>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</si>
  <si>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</si>
  <si>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</si>
  <si>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</si>
  <si>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</si>
  <si>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</si>
  <si>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</si>
  <si>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</si>
  <si>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</si>
  <si>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</si>
  <si>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</si>
  <si>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</si>
  <si>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</si>
  <si>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</si>
  <si>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</si>
  <si>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</si>
  <si>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</si>
  <si>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</si>
  <si>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</si>
  <si>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</si>
  <si>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</si>
  <si>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</si>
  <si>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</si>
  <si>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</si>
  <si>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</si>
  <si>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</si>
  <si>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</si>
  <si>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</si>
  <si>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</si>
  <si>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</si>
  <si>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</si>
  <si>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</si>
  <si>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</si>
  <si>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</si>
  <si>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</si>
  <si>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</si>
  <si>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</si>
  <si>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</si>
  <si>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</si>
  <si>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</si>
  <si>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</si>
  <si>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</si>
  <si>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</si>
  <si>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</si>
  <si>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</si>
  <si>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</si>
  <si>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</si>
  <si>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</si>
  <si>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</si>
  <si>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</si>
  <si>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</si>
  <si>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</si>
  <si>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</si>
  <si>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</si>
  <si>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</si>
  <si>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</si>
  <si>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</si>
  <si>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</si>
  <si>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</si>
  <si>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</si>
  <si>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</si>
  <si>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</si>
  <si>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</si>
  <si>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</si>
  <si>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</si>
  <si>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</si>
  <si>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</si>
  <si>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</si>
  <si>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</si>
  <si>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</si>
  <si>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</si>
  <si>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</si>
  <si>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</si>
  <si>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</si>
  <si>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</si>
  <si>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</si>
  <si>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</si>
  <si>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</si>
  <si>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</si>
  <si>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</si>
  <si>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</si>
  <si>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</si>
  <si>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</si>
  <si>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</si>
  <si>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</si>
  <si>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</si>
  <si>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</si>
  <si>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</si>
  <si>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</si>
  <si>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</si>
  <si>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</si>
  <si>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</si>
  <si>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</si>
  <si>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</si>
  <si>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</si>
  <si>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</si>
  <si>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</si>
  <si>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</si>
  <si>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</si>
  <si>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</si>
  <si>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</si>
  <si>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</si>
  <si>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</si>
  <si>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</si>
  <si>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</si>
  <si>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</si>
  <si>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</si>
  <si>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</si>
  <si>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</si>
  <si>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</si>
  <si>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</si>
  <si>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</si>
  <si>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</si>
  <si>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</si>
  <si>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</si>
  <si>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</si>
  <si>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</si>
  <si>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</si>
  <si>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</si>
  <si>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</si>
  <si>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</si>
  <si>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</si>
  <si>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</si>
  <si>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</si>
  <si>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</si>
  <si>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</si>
  <si>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</si>
  <si>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</si>
  <si>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</si>
  <si>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</si>
  <si>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</si>
  <si>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</si>
  <si>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</si>
  <si>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</si>
  <si>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</si>
  <si>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</si>
  <si>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</si>
  <si>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</si>
  <si>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</si>
  <si>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</si>
  <si>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</si>
  <si>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</si>
  <si>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</si>
  <si>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</si>
  <si>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</si>
  <si>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</si>
  <si>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</si>
  <si>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</si>
  <si>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</si>
  <si>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</si>
  <si>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</si>
  <si>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</si>
  <si>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</si>
  <si>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</si>
  <si>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</si>
  <si>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</si>
  <si>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</si>
  <si>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</si>
  <si>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</si>
  <si>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</si>
  <si>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</si>
  <si>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</si>
  <si>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</si>
  <si>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</si>
  <si>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</si>
  <si>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</si>
  <si>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</si>
  <si>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</si>
  <si>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</si>
  <si>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</si>
  <si>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</si>
  <si>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</si>
  <si>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</si>
  <si>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</si>
  <si>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</si>
  <si>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</si>
  <si>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</si>
  <si>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</si>
  <si>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</si>
  <si>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</si>
  <si>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</si>
  <si>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</si>
  <si>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</si>
  <si>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</si>
  <si>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</si>
  <si>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</si>
  <si>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</si>
  <si>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</si>
  <si>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</si>
  <si>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</si>
  <si>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</si>
  <si>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</si>
  <si>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</si>
  <si>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</si>
  <si>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</si>
  <si>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</si>
  <si>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</si>
  <si>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</si>
  <si>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</si>
  <si>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</si>
  <si>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</si>
  <si>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</si>
  <si>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</si>
  <si>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</si>
  <si>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</si>
  <si>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</si>
  <si>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</si>
  <si>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</si>
  <si>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</si>
  <si>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</si>
  <si>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</si>
  <si>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</si>
  <si>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</si>
  <si>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</si>
  <si>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</si>
  <si>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</si>
  <si>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</si>
  <si>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</si>
  <si>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</si>
  <si>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</si>
  <si>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</si>
  <si>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</si>
  <si>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</si>
  <si>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</si>
  <si>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</si>
  <si>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</si>
  <si>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</si>
  <si>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</si>
  <si>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</si>
  <si>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</si>
  <si>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</si>
  <si>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</si>
  <si>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</si>
  <si>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</si>
  <si>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</si>
  <si>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</si>
  <si>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</si>
  <si>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</si>
  <si>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</si>
  <si>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</si>
  <si>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</si>
  <si>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</si>
  <si>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</si>
  <si>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</si>
  <si>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</si>
  <si>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</si>
  <si>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</si>
  <si>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</si>
  <si>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</si>
  <si>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</si>
  <si>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</si>
  <si>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</si>
  <si>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</si>
  <si>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</si>
  <si>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</si>
  <si>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</si>
  <si>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</si>
  <si>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</si>
  <si>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</si>
  <si>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</si>
  <si>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</si>
  <si>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</si>
  <si>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</si>
  <si>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</si>
  <si>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</si>
  <si>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</si>
  <si>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</si>
  <si>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</si>
  <si>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</si>
  <si>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</si>
  <si>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</si>
  <si>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</si>
  <si>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</si>
  <si>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</si>
  <si>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</si>
  <si>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</si>
  <si>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</si>
  <si>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</si>
  <si>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</si>
  <si>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</si>
  <si>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</si>
  <si>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</si>
  <si>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</si>
  <si>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</si>
  <si>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</si>
  <si>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</si>
  <si>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</si>
  <si>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</si>
  <si>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</si>
  <si>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</si>
  <si>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</si>
  <si>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</si>
  <si>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</si>
  <si>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</si>
  <si>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</si>
  <si>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</si>
  <si>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</si>
  <si>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</si>
  <si>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</si>
  <si>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</si>
  <si>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</si>
  <si>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</si>
  <si>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</si>
  <si>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</si>
  <si>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</si>
  <si>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</si>
  <si>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</si>
  <si>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</si>
  <si>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</si>
  <si>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</si>
  <si>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</si>
  <si>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</si>
  <si>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</si>
  <si>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</si>
  <si>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</si>
  <si>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</si>
  <si>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</si>
  <si>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</si>
  <si>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</si>
  <si>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</si>
  <si>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</si>
  <si>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</si>
  <si>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</si>
  <si>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</si>
  <si>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</si>
  <si>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</si>
  <si>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</si>
  <si>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</si>
  <si>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</si>
  <si>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</si>
  <si>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</si>
  <si>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</si>
  <si>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</si>
  <si>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</si>
  <si>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</si>
  <si>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</si>
  <si>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</si>
  <si>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</si>
  <si>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</si>
  <si>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</si>
  <si>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</si>
  <si>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</si>
  <si>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</si>
  <si>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</si>
  <si>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</si>
  <si>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</si>
  <si>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</si>
  <si>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</si>
  <si>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</si>
  <si>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</si>
  <si>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</si>
  <si>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</si>
  <si>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</si>
  <si>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</si>
  <si>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</si>
  <si>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</si>
  <si>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</si>
  <si>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</si>
  <si>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</si>
  <si>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</si>
  <si>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</si>
  <si>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</si>
  <si>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</si>
  <si>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</si>
  <si>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</si>
  <si>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</si>
  <si>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</si>
  <si>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</si>
  <si>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</si>
  <si>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</si>
  <si>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</si>
  <si>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</si>
  <si>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</si>
  <si>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</si>
  <si>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</si>
  <si>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</si>
  <si>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</si>
  <si>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</si>
  <si>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</si>
  <si>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</si>
  <si>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</si>
  <si>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</si>
  <si>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</si>
  <si>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</si>
  <si>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</si>
  <si>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</si>
  <si>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</si>
  <si>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</si>
  <si>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</si>
  <si>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</si>
  <si>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</si>
  <si>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</si>
  <si>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</si>
  <si>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</si>
  <si>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</si>
  <si>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</si>
  <si>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</si>
  <si>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</si>
  <si>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</si>
  <si>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</si>
  <si>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</si>
  <si>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</si>
  <si>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</si>
  <si>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</si>
  <si>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</si>
  <si>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</si>
  <si>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</si>
  <si>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</si>
  <si>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</si>
  <si>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</si>
  <si>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</si>
  <si>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</si>
  <si>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</si>
  <si>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</si>
  <si>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</si>
  <si>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</si>
  <si>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</si>
  <si>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</si>
  <si>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</si>
  <si>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</si>
  <si>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</si>
  <si>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</si>
  <si>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</si>
  <si>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</si>
  <si>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</si>
  <si>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</si>
  <si>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</si>
  <si>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</si>
  <si>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</si>
  <si>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</si>
  <si>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</si>
  <si>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</si>
  <si>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</si>
  <si>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</si>
  <si>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</si>
  <si>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</si>
  <si>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</si>
  <si>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</si>
  <si>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</si>
  <si>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</si>
  <si>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</si>
  <si>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</si>
  <si>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</si>
  <si>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</si>
  <si>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</si>
  <si>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</si>
  <si>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</si>
  <si>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</si>
  <si>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</si>
  <si>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</si>
  <si>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</si>
  <si>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</si>
  <si>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</si>
  <si>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</si>
  <si>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</si>
  <si>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</si>
  <si>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</si>
  <si>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</si>
  <si>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</si>
  <si>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</si>
  <si>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</si>
  <si>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</si>
  <si>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</si>
  <si>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</si>
  <si>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</si>
  <si>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</si>
  <si>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</si>
  <si>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</si>
  <si>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</si>
  <si>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</si>
  <si>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</si>
  <si>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</si>
  <si>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</si>
  <si>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</si>
  <si>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</si>
  <si>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</si>
  <si>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</si>
  <si>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</si>
  <si>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</si>
  <si>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</si>
  <si>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</si>
  <si>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</si>
  <si>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</si>
  <si>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</si>
  <si>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</si>
  <si>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</si>
  <si>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</si>
  <si>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</si>
  <si>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</si>
  <si>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</si>
  <si>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</si>
  <si>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</si>
  <si>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</si>
  <si>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</si>
  <si>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</si>
  <si>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</si>
  <si>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</si>
  <si>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</si>
  <si>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</si>
  <si>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</si>
  <si>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</si>
  <si>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</si>
  <si>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</si>
  <si>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</si>
  <si>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</si>
  <si>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</si>
  <si>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</si>
  <si>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</si>
  <si>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</si>
  <si>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</si>
  <si>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</si>
  <si>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</si>
  <si>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</si>
  <si>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</si>
  <si>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</si>
  <si>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</si>
  <si>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</si>
  <si>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</si>
  <si>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</si>
  <si>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</si>
  <si>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</si>
  <si>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</si>
  <si>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</si>
  <si>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</si>
  <si>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</si>
  <si>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</si>
  <si>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</si>
  <si>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</si>
  <si>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</si>
  <si>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</si>
  <si>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</si>
  <si>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</si>
  <si>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</si>
  <si>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</si>
  <si>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</si>
  <si>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</si>
  <si>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</si>
  <si>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</si>
  <si>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</si>
  <si>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</si>
  <si>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</si>
  <si>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</si>
  <si>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</si>
  <si>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</si>
  <si>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</si>
  <si>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</si>
  <si>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</si>
  <si>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</si>
  <si>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</si>
  <si>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</si>
  <si>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</si>
  <si>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</si>
  <si>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</si>
  <si>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</si>
  <si>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</si>
  <si>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</si>
  <si>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</si>
  <si>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</si>
  <si>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</si>
  <si>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</si>
  <si>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</si>
  <si>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</si>
  <si>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</si>
  <si>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</si>
  <si>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</si>
  <si>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</si>
  <si>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</si>
  <si>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</si>
  <si>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</si>
  <si>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</si>
  <si>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</si>
  <si>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</si>
  <si>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</si>
  <si>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</si>
  <si>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</si>
  <si>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</si>
  <si>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</si>
  <si>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</si>
  <si>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</si>
  <si>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</si>
  <si>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</si>
  <si>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</si>
  <si>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</si>
  <si>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</si>
  <si>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</si>
  <si>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</si>
  <si>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</si>
  <si>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</si>
  <si>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</si>
  <si>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</si>
  <si>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</si>
  <si>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</si>
  <si>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</si>
  <si>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</si>
  <si>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</si>
  <si>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</si>
  <si>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</si>
  <si>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</si>
  <si>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</si>
  <si>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</si>
  <si>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</si>
  <si>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</si>
  <si>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</si>
  <si>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</si>
  <si>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</si>
  <si>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</si>
  <si>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</si>
  <si>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</si>
  <si>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</si>
  <si>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</si>
  <si>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</si>
  <si>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</si>
  <si>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</si>
  <si>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</si>
  <si>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</si>
  <si>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</si>
  <si>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</si>
  <si>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</si>
  <si>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</si>
  <si>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</si>
  <si>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</si>
  <si>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</si>
  <si>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</si>
  <si>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</si>
  <si>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</si>
  <si>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</si>
  <si>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</si>
  <si>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</si>
  <si>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</si>
  <si>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</si>
  <si>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</si>
  <si>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</si>
  <si>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</si>
  <si>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</si>
  <si>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</si>
  <si>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</si>
  <si>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</si>
  <si>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</si>
  <si>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</si>
  <si>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</si>
  <si>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</si>
  <si>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</si>
  <si>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</si>
  <si>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</si>
  <si>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</si>
  <si>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</si>
  <si>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</si>
  <si>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</si>
  <si>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</si>
  <si>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</si>
  <si>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</si>
  <si>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</si>
  <si>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</si>
  <si>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</si>
  <si>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</si>
  <si>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</si>
  <si>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</si>
  <si>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</si>
  <si>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</si>
  <si>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</si>
  <si>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</si>
  <si>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</si>
  <si>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</si>
  <si>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</si>
  <si>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</si>
  <si>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</si>
  <si>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</si>
  <si>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</si>
  <si>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</si>
  <si>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</si>
  <si>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</si>
  <si>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</si>
  <si>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</si>
  <si>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</si>
  <si>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</si>
  <si>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</si>
  <si>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</si>
  <si>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</si>
  <si>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</si>
  <si>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</si>
  <si>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</si>
  <si>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</si>
  <si>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</si>
  <si>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</si>
  <si>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</si>
  <si>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</si>
  <si>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</si>
  <si>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</si>
  <si>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</si>
  <si>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</si>
  <si>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</si>
  <si>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</si>
  <si>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</si>
  <si>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</si>
  <si>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</si>
  <si>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</si>
  <si>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</si>
  <si>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</si>
  <si>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</si>
  <si>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</si>
  <si>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</si>
  <si>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</si>
  <si>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</si>
  <si>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</si>
  <si>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</si>
  <si>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</si>
  <si>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</si>
  <si>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</si>
  <si>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</si>
  <si>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</si>
  <si>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</si>
  <si>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</si>
  <si>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</si>
  <si>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</si>
  <si>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</si>
  <si>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</si>
  <si>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</si>
  <si>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</si>
  <si>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</si>
  <si>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</si>
  <si>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</si>
  <si>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</si>
  <si>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</si>
  <si>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</si>
  <si>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</si>
  <si>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</si>
  <si>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</si>
  <si>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</si>
  <si>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</si>
  <si>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</si>
  <si>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</si>
  <si>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</si>
  <si>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</si>
  <si>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</si>
  <si>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</si>
  <si>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</si>
  <si>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</si>
  <si>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</si>
  <si>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</si>
  <si>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</si>
  <si>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</si>
  <si>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</si>
  <si>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</si>
  <si>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</si>
  <si>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</si>
  <si>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</si>
  <si>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</si>
  <si>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</si>
  <si>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</si>
  <si>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</si>
  <si>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</si>
  <si>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</si>
  <si>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</si>
  <si>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</si>
  <si>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</si>
  <si>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</si>
  <si>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</si>
  <si>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</si>
  <si>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</si>
  <si>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</si>
  <si>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</si>
  <si>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</si>
  <si>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</si>
  <si>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</si>
  <si>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</si>
  <si>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</si>
  <si>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</si>
  <si>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</si>
  <si>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</si>
  <si>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</si>
  <si>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</si>
  <si>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</si>
  <si>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</si>
  <si>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</si>
  <si>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</si>
  <si>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</si>
  <si>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</si>
  <si>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</si>
  <si>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</si>
  <si>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</si>
  <si>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</si>
  <si>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</si>
  <si>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</si>
  <si>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</si>
  <si>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</si>
  <si>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</si>
  <si>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</si>
  <si>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</si>
  <si>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</si>
  <si>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</si>
  <si>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</si>
  <si>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</si>
  <si>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</si>
  <si>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</si>
  <si>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</si>
  <si>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</si>
  <si>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</si>
  <si>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</si>
  <si>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</si>
  <si>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</si>
  <si>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</si>
  <si>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</si>
  <si>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</si>
  <si>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</si>
  <si>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</si>
  <si>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</si>
  <si>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</si>
  <si>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</si>
  <si>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</si>
  <si>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</si>
  <si>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</si>
  <si>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</si>
  <si>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</si>
  <si>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</si>
  <si>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</si>
  <si>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</si>
  <si>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</si>
  <si>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</si>
  <si>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</si>
  <si>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</si>
  <si>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</si>
  <si>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</si>
  <si>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</si>
  <si>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</si>
  <si>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</si>
  <si>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</si>
  <si>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</si>
  <si>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</si>
  <si>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</si>
  <si>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</si>
  <si>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</si>
  <si>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</si>
  <si>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</si>
  <si>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</si>
  <si>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</si>
  <si>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</si>
  <si>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</si>
  <si>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</si>
  <si>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</si>
  <si>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</si>
  <si>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</si>
  <si>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</si>
  <si>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</si>
  <si>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</si>
  <si>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</si>
  <si>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</si>
  <si>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</si>
  <si>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</si>
  <si>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</si>
  <si>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</si>
  <si>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</si>
  <si>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</si>
  <si>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</si>
  <si>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</si>
  <si>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</si>
  <si>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</si>
  <si>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</si>
  <si>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</si>
  <si>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</si>
  <si>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</si>
  <si>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</si>
  <si>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</si>
  <si>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</si>
  <si>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</si>
  <si>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</si>
  <si>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</si>
  <si>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</si>
  <si>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</si>
  <si>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</si>
  <si>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</si>
  <si>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</si>
  <si>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</si>
  <si>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</si>
  <si>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</si>
  <si>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</si>
  <si>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</si>
  <si>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</si>
  <si>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</si>
  <si>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</si>
  <si>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</si>
  <si>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</si>
  <si>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</si>
  <si>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</si>
  <si>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</si>
  <si>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</si>
  <si>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</si>
  <si>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</si>
  <si>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</si>
  <si>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</si>
  <si>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</si>
  <si>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</si>
  <si>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</si>
  <si>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</si>
  <si>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</si>
  <si>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</si>
  <si>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</si>
  <si>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</si>
  <si>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</si>
  <si>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</si>
  <si>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</si>
  <si>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</si>
  <si>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</si>
  <si>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</si>
  <si>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</si>
  <si>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</si>
  <si>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</si>
  <si>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</si>
  <si>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</si>
  <si>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</si>
  <si>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</si>
  <si>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</si>
  <si>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</si>
  <si>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</si>
  <si>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</si>
  <si>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</si>
  <si>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</si>
  <si>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</si>
  <si>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</si>
  <si>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</si>
  <si>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</si>
  <si>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</si>
  <si>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</si>
  <si>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</si>
  <si>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</si>
  <si>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</si>
  <si>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</si>
  <si>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</si>
  <si>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</si>
  <si>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</si>
  <si>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</si>
  <si>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</si>
  <si>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</si>
  <si>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</si>
  <si>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</si>
  <si>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</si>
  <si>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</si>
  <si>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</si>
  <si>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</si>
  <si>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</si>
  <si>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</si>
  <si>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</si>
  <si>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</si>
  <si>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</si>
  <si>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</si>
  <si>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</si>
  <si>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</si>
  <si>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</si>
  <si>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</si>
  <si>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</si>
  <si>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</si>
  <si>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</si>
  <si>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</si>
  <si>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</si>
  <si>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</si>
  <si>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</si>
  <si>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</si>
  <si>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</si>
  <si>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</si>
  <si>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</si>
  <si>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</si>
  <si>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</si>
  <si>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</si>
  <si>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</si>
  <si>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</si>
  <si>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</si>
  <si>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</si>
  <si>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</si>
  <si>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</si>
  <si>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</si>
  <si>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</si>
  <si>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</si>
  <si>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</si>
  <si>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</si>
  <si>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</si>
  <si>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</si>
  <si>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</si>
  <si>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</si>
  <si>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</si>
  <si>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</si>
  <si>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</si>
  <si>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</si>
  <si>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</si>
  <si>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</si>
  <si>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</si>
  <si>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</si>
  <si>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</si>
  <si>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</si>
  <si>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</si>
  <si>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</si>
  <si>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</si>
  <si>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</si>
  <si>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</si>
  <si>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</si>
  <si>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</si>
  <si>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</si>
  <si>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</si>
  <si>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</si>
  <si>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</si>
  <si>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</si>
  <si>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</si>
  <si>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</si>
  <si>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</si>
  <si>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</si>
  <si>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</si>
  <si>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</si>
  <si>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</si>
  <si>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</si>
  <si>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</si>
  <si>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</si>
  <si>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</si>
  <si>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</si>
  <si>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</si>
  <si>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</si>
  <si>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</si>
  <si>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</si>
  <si>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</si>
  <si>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</si>
  <si>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</si>
  <si>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</si>
  <si>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</si>
  <si>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</si>
  <si>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</si>
  <si>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</si>
  <si>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</si>
  <si>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</si>
  <si>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</si>
  <si>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</si>
  <si>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</si>
  <si>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</si>
  <si>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</si>
  <si>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</si>
  <si>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</si>
  <si>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</si>
  <si>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</si>
  <si>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</si>
  <si>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</si>
  <si>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</si>
  <si>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</si>
  <si>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</si>
  <si>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</si>
  <si>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</si>
  <si>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</si>
  <si>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</si>
  <si>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</si>
  <si>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</si>
  <si>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</si>
  <si>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</si>
  <si>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</si>
  <si>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</si>
  <si>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</si>
  <si>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</si>
  <si>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</si>
  <si>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</si>
  <si>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</si>
  <si>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</si>
  <si>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</si>
  <si>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</si>
  <si>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</si>
  <si>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</si>
  <si>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</si>
  <si>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</si>
  <si>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</si>
  <si>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</si>
  <si>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</si>
  <si>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</si>
  <si>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</si>
  <si>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</si>
  <si>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</si>
  <si>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</si>
  <si>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</si>
  <si>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</si>
  <si>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</si>
  <si>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</si>
  <si>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</si>
  <si>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</si>
  <si>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</si>
  <si>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</si>
  <si>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</si>
  <si>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</si>
  <si>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</si>
  <si>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</si>
  <si>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</si>
  <si>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</si>
  <si>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</si>
  <si>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</si>
  <si>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</si>
  <si>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</si>
  <si>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</si>
  <si>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</si>
  <si>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</si>
  <si>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</si>
  <si>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</si>
  <si>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</si>
  <si>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</si>
  <si>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</si>
  <si>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</si>
  <si>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</si>
  <si>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</si>
  <si>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</si>
  <si>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</si>
  <si>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</si>
  <si>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</si>
  <si>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</si>
  <si>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</si>
  <si>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</si>
  <si>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</si>
  <si>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</si>
  <si>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</si>
  <si>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</si>
  <si>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</si>
  <si>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</si>
  <si>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</si>
  <si>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</si>
  <si>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</si>
  <si>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</si>
  <si>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</si>
  <si>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</si>
  <si>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</si>
  <si>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</si>
  <si>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</si>
  <si>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</si>
  <si>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</si>
  <si>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</si>
  <si>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</si>
  <si>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</si>
  <si>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</si>
  <si>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</si>
  <si>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</si>
  <si>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</si>
  <si>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</si>
  <si>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</si>
  <si>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</si>
  <si>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</si>
  <si>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</si>
  <si>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</si>
  <si>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</si>
  <si>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</si>
  <si>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</si>
  <si>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</si>
  <si>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</si>
  <si>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</si>
  <si>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</si>
  <si>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</si>
  <si>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</si>
  <si>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</si>
  <si>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</si>
  <si>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</si>
  <si>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</si>
  <si>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</si>
  <si>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</si>
  <si>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</si>
  <si>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</si>
  <si>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</si>
  <si>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</si>
  <si>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</si>
  <si>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</si>
  <si>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</si>
  <si>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</si>
  <si>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</si>
  <si>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</si>
  <si>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</si>
  <si>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</si>
  <si>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</si>
  <si>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</si>
  <si>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</si>
  <si>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</si>
  <si>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</si>
  <si>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</si>
  <si>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</si>
  <si>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</si>
  <si>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</si>
  <si>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</si>
  <si>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</si>
  <si>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</si>
  <si>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</si>
  <si>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</si>
  <si>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</si>
  <si>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</si>
  <si>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</si>
  <si>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</si>
  <si>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</si>
  <si>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</si>
  <si>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</si>
  <si>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</si>
  <si>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</si>
  <si>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</si>
  <si>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</si>
  <si>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</si>
  <si>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</si>
  <si>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</si>
  <si>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</si>
  <si>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</si>
  <si>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</si>
  <si>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</si>
  <si>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</si>
  <si>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</si>
  <si>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</si>
  <si>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</si>
  <si>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</si>
  <si>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</si>
  <si>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</si>
  <si>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</si>
  <si>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</si>
  <si>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</si>
  <si>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</si>
  <si>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</si>
  <si>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</si>
  <si>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</si>
  <si>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</si>
  <si>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</si>
  <si>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</si>
  <si>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</si>
  <si>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</si>
  <si>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</si>
  <si>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</si>
  <si>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</si>
  <si>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</si>
  <si>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</si>
  <si>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</si>
  <si>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</si>
  <si>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</si>
  <si>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</si>
  <si>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</si>
  <si>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</si>
  <si>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</si>
  <si>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</si>
  <si>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</si>
  <si>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</si>
  <si>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</si>
  <si>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</si>
  <si>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</si>
  <si>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</si>
  <si>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</si>
  <si>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</si>
  <si>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</si>
  <si>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</si>
  <si>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</si>
  <si>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</si>
  <si>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</si>
  <si>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</si>
  <si>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</si>
  <si>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</si>
  <si>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</si>
  <si>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</si>
  <si>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</si>
  <si>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</si>
  <si>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</si>
  <si>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</si>
  <si>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</si>
  <si>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</si>
  <si>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</si>
  <si>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</si>
  <si>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</si>
  <si>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</si>
  <si>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</si>
  <si>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</si>
  <si>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</si>
  <si>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</si>
  <si>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</si>
  <si>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</si>
  <si>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</si>
  <si>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</si>
  <si>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</si>
  <si>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</si>
  <si>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</si>
  <si>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</si>
  <si>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</si>
  <si>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</si>
  <si>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</si>
  <si>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</si>
  <si>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</si>
  <si>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</si>
  <si>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</si>
  <si>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</si>
  <si>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</si>
  <si>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</si>
  <si>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</si>
  <si>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</si>
  <si>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</si>
  <si>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</si>
  <si>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</si>
  <si>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</si>
  <si>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</si>
  <si>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</si>
  <si>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</si>
  <si>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</si>
  <si>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</si>
  <si>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</si>
  <si>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</si>
  <si>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</si>
  <si>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</si>
  <si>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</si>
  <si>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</si>
  <si>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</si>
  <si>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</si>
  <si>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</si>
  <si>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</si>
  <si>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</si>
  <si>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</si>
  <si>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</si>
  <si>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</si>
  <si>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</si>
  <si>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</si>
  <si>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</si>
  <si>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</si>
  <si>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</si>
  <si>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</si>
  <si>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</si>
  <si>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</si>
  <si>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</si>
  <si>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</si>
  <si>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</si>
  <si>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</si>
  <si>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</si>
  <si>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</si>
  <si>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</si>
  <si>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</si>
  <si>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</si>
  <si>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</si>
  <si>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</si>
  <si>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</si>
  <si>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</si>
  <si>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</si>
  <si>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</si>
  <si>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</si>
  <si>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</si>
  <si>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</si>
  <si>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</si>
  <si>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</si>
  <si>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</si>
  <si>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</si>
  <si>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</si>
  <si>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</si>
  <si>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</si>
  <si>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</si>
  <si>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</si>
  <si>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</si>
  <si>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</si>
  <si>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</si>
  <si>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</si>
  <si>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</si>
  <si>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</si>
  <si>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</si>
  <si>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</si>
  <si>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</si>
  <si>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</si>
  <si>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</si>
  <si>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</si>
  <si>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</si>
  <si>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</si>
  <si>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</si>
  <si>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</si>
  <si>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</si>
  <si>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</si>
  <si>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</si>
  <si>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</si>
  <si>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</si>
  <si>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</si>
  <si>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</si>
  <si>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</si>
  <si>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</si>
  <si>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</si>
  <si>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</si>
  <si>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</si>
  <si>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</si>
  <si>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</si>
  <si>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</si>
  <si>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</si>
  <si>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</si>
  <si>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</si>
  <si>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</si>
  <si>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</si>
  <si>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</si>
  <si>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</si>
  <si>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</si>
  <si>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</si>
  <si>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</si>
  <si>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</si>
  <si>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</si>
  <si>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</si>
  <si>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</si>
  <si>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</si>
  <si>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</si>
  <si>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</si>
  <si>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</si>
  <si>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</si>
  <si>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</si>
  <si>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</si>
  <si>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</si>
  <si>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</si>
  <si>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</si>
  <si>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</si>
  <si>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</si>
  <si>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</si>
  <si>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</si>
  <si>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</si>
  <si>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</si>
  <si>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</si>
  <si>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</si>
  <si>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</si>
  <si>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</si>
  <si>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</si>
  <si>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</si>
  <si>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</si>
  <si>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</si>
  <si>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</si>
  <si>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</si>
  <si>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</si>
  <si>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</si>
  <si>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</si>
  <si>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</si>
  <si>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</si>
  <si>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</si>
  <si>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</si>
  <si>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</si>
  <si>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</si>
  <si>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</si>
  <si>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</si>
  <si>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</si>
  <si>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</si>
  <si>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</si>
  <si>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</si>
  <si>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</si>
  <si>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</si>
  <si>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</si>
  <si>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</si>
  <si>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</si>
  <si>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</si>
  <si>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</si>
  <si>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</si>
  <si>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</si>
  <si>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</si>
  <si>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</si>
  <si>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</si>
  <si>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</si>
  <si>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</si>
  <si>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</si>
  <si>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</si>
  <si>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</si>
  <si>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</si>
  <si>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</si>
  <si>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</si>
  <si>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</si>
  <si>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</si>
  <si>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</si>
  <si>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</si>
  <si>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</si>
  <si>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</si>
  <si>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</si>
  <si>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</si>
  <si>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</si>
  <si>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</si>
  <si>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</si>
  <si>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</si>
  <si>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</si>
  <si>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</si>
  <si>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</si>
  <si>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</si>
  <si>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</si>
  <si>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</si>
  <si>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</si>
  <si>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</si>
  <si>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</si>
  <si>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</si>
  <si>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</si>
  <si>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</si>
  <si>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</si>
  <si>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</si>
  <si>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</si>
  <si>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</si>
  <si>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</si>
  <si>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</si>
  <si>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</si>
  <si>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</si>
  <si>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</si>
  <si>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</si>
  <si>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</si>
  <si>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</si>
  <si>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</si>
  <si>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</si>
  <si>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</si>
  <si>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</si>
  <si>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</si>
  <si>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</si>
  <si>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</si>
  <si>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</si>
  <si>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</si>
  <si>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</si>
  <si>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</si>
  <si>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</si>
  <si>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</si>
  <si>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</si>
  <si>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</si>
  <si>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</si>
  <si>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</si>
  <si>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</si>
  <si>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</si>
  <si>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</si>
  <si>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</si>
  <si>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</si>
  <si>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</si>
  <si>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</si>
  <si>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</si>
  <si>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</si>
  <si>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</si>
  <si>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</si>
  <si>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</si>
  <si>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</si>
  <si>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</si>
  <si>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</si>
  <si>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</si>
  <si>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</si>
  <si>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</si>
  <si>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</si>
  <si>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</si>
  <si>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</si>
  <si>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</si>
  <si>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</si>
  <si>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</si>
  <si>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</si>
  <si>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</si>
  <si>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</si>
  <si>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</si>
  <si>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</si>
  <si>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</si>
  <si>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</si>
  <si>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</si>
  <si>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</si>
  <si>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</si>
  <si>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</si>
  <si>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</si>
  <si>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</si>
  <si>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</si>
  <si>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</si>
  <si>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</si>
  <si>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</si>
  <si>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</si>
  <si>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</si>
  <si>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</si>
  <si>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</si>
  <si>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</si>
  <si>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</si>
  <si>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</si>
  <si>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</si>
  <si>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</si>
  <si>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</si>
  <si>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</si>
  <si>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</si>
  <si>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</si>
  <si>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</si>
  <si>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</si>
  <si>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</si>
  <si>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</si>
  <si>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</si>
  <si>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</si>
  <si>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</si>
  <si>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</si>
  <si>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</si>
  <si>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</si>
  <si>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</si>
  <si>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</si>
  <si>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</si>
  <si>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</si>
  <si>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</si>
  <si>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</si>
  <si>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</si>
  <si>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</si>
  <si>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</si>
  <si>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</si>
  <si>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</si>
  <si>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</si>
  <si>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</si>
  <si>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</si>
  <si>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</si>
  <si>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</si>
  <si>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</si>
  <si>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</si>
  <si>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</si>
  <si>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</si>
  <si>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</si>
  <si>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</si>
  <si>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</si>
  <si>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</si>
  <si>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</si>
  <si>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</si>
  <si>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</si>
  <si>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</si>
  <si>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</si>
  <si>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</si>
  <si>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</si>
  <si>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</si>
  <si>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</si>
  <si>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</si>
  <si>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</si>
  <si>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</si>
  <si>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</si>
  <si>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</si>
  <si>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</si>
  <si>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</si>
  <si>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</si>
  <si>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</si>
  <si>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</si>
  <si>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</si>
  <si>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</si>
  <si>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</si>
  <si>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</si>
  <si>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</si>
  <si>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</si>
  <si>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</si>
  <si>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</si>
  <si>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</si>
  <si>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</si>
  <si>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</si>
  <si>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</si>
  <si>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</si>
  <si>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</si>
  <si>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</si>
  <si>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</si>
  <si>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</si>
  <si>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</si>
  <si>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</si>
  <si>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</si>
  <si>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</si>
  <si>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</si>
  <si>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</si>
  <si>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</si>
  <si>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</si>
  <si>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</si>
  <si>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</si>
  <si>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</si>
  <si>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</si>
  <si>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</si>
  <si>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</si>
  <si>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</si>
  <si>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</si>
  <si>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</si>
  <si>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</si>
  <si>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</si>
  <si>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</si>
  <si>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</si>
  <si>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</si>
  <si>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</si>
  <si>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</si>
  <si>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</si>
  <si>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</si>
  <si>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</si>
  <si>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</si>
  <si>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</si>
  <si>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</si>
  <si>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</si>
  <si>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</si>
  <si>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</si>
  <si>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</si>
  <si>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</si>
  <si>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</si>
  <si>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</si>
  <si>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</si>
  <si>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</si>
  <si>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</si>
  <si>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</si>
  <si>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</si>
  <si>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</si>
  <si>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</si>
  <si>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</si>
  <si>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</si>
  <si>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</si>
  <si>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</si>
  <si>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</si>
  <si>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</si>
  <si>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</si>
  <si>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</si>
  <si>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</si>
  <si>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</si>
  <si>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</si>
  <si>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</si>
  <si>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</si>
  <si>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</si>
  <si>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</si>
  <si>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</si>
  <si>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</si>
  <si>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</si>
  <si>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</si>
  <si>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</si>
  <si>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</si>
  <si>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</si>
  <si>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</si>
  <si>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</si>
  <si>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</si>
  <si>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</si>
  <si>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</si>
  <si>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</si>
  <si>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</si>
  <si>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</si>
  <si>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</si>
  <si>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</si>
  <si>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</si>
  <si>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</si>
  <si>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</si>
  <si>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</si>
  <si>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</si>
  <si>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</si>
  <si>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</si>
  <si>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</si>
  <si>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</si>
  <si>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</si>
  <si>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</si>
  <si>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</si>
  <si>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</si>
  <si>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</si>
  <si>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</si>
  <si>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</si>
  <si>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</si>
  <si>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</si>
  <si>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</si>
  <si>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</si>
  <si>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</si>
  <si>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</si>
  <si>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</si>
  <si>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</si>
  <si>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</si>
  <si>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</si>
  <si>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</si>
  <si>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</si>
  <si>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</si>
  <si>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</si>
  <si>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</si>
  <si>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</si>
  <si>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</si>
  <si>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</si>
  <si>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</si>
  <si>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</si>
  <si>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</si>
  <si>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</si>
  <si>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</si>
  <si>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</si>
  <si>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</si>
  <si>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</si>
  <si>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</si>
  <si>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</si>
  <si>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</si>
  <si>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</si>
  <si>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</si>
  <si>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</si>
  <si>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</si>
  <si>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</si>
  <si>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</si>
  <si>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</si>
  <si>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</si>
  <si>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</si>
  <si>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</si>
  <si>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</si>
  <si>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</si>
  <si>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</si>
  <si>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</si>
  <si>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</si>
  <si>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</si>
  <si>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</si>
  <si>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</si>
  <si>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</si>
  <si>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</si>
  <si>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</si>
  <si>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</si>
  <si>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</si>
  <si>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</si>
  <si>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</si>
  <si>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</si>
  <si>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</si>
  <si>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</si>
  <si>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</si>
  <si>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</si>
  <si>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</si>
  <si>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</si>
  <si>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</si>
  <si>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</si>
  <si>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</si>
  <si>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</si>
  <si>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</si>
  <si>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</si>
  <si>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</si>
  <si>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</si>
  <si>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</si>
  <si>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</si>
  <si>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</si>
  <si>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</si>
  <si>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</si>
  <si>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</si>
  <si>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</si>
  <si>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</si>
  <si>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</si>
  <si>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</si>
  <si>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</si>
  <si>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</si>
  <si>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</si>
  <si>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</si>
  <si>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</si>
  <si>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</si>
  <si>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</si>
  <si>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</si>
  <si>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</si>
  <si>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</si>
  <si>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</si>
  <si>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</si>
  <si>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</si>
  <si>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</si>
  <si>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</si>
  <si>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</si>
  <si>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</si>
  <si>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</si>
  <si>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</si>
  <si>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</si>
  <si>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</si>
  <si>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</si>
  <si>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</si>
  <si>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</si>
  <si>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</si>
  <si>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</si>
  <si>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</si>
  <si>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</si>
  <si>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</si>
  <si>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</si>
  <si>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</si>
  <si>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</si>
  <si>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</si>
  <si>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</si>
  <si>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</si>
  <si>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</si>
  <si>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</si>
  <si>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</si>
  <si>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</si>
  <si>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</si>
  <si>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</si>
  <si>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</si>
  <si>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</si>
  <si>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</si>
  <si>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</si>
  <si>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</si>
  <si>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</si>
  <si>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</si>
  <si>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</si>
  <si>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</si>
  <si>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</si>
  <si>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</si>
  <si>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</si>
  <si>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</si>
  <si>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</si>
  <si>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</si>
  <si>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</si>
  <si>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</si>
  <si>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</si>
  <si>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</si>
  <si>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</si>
  <si>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</si>
  <si>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</si>
  <si>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</si>
  <si>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</si>
  <si>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</si>
  <si>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</si>
  <si>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</si>
  <si>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</si>
  <si>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</si>
  <si>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</si>
  <si>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</si>
  <si>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</si>
  <si>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</si>
  <si>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</si>
  <si>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</si>
  <si>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</si>
  <si>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</si>
  <si>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</si>
  <si>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</si>
  <si>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</si>
  <si>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</si>
  <si>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</si>
  <si>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</si>
  <si>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</si>
  <si>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</si>
  <si>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</si>
  <si>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</si>
  <si>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</si>
  <si>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</si>
  <si>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</si>
  <si>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</si>
  <si>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</si>
  <si>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</si>
  <si>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</si>
  <si>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</si>
  <si>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</si>
  <si>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</si>
  <si>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</si>
  <si>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</si>
  <si>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</si>
  <si>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</si>
  <si>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</si>
  <si>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</si>
  <si>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</si>
  <si>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</si>
  <si>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</si>
  <si>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</si>
  <si>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</si>
  <si>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</si>
  <si>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</si>
  <si>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</si>
  <si>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</si>
  <si>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</si>
  <si>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</si>
  <si>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</si>
  <si>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</si>
  <si>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</si>
  <si>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</si>
  <si>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</si>
  <si>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</si>
  <si>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</si>
  <si>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</si>
  <si>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</si>
  <si>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</si>
  <si>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</si>
  <si>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</si>
  <si>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</si>
  <si>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</si>
  <si>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</si>
  <si>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</si>
  <si>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</si>
  <si>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</si>
  <si>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</si>
  <si>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</si>
  <si>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</si>
  <si>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</si>
  <si>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</si>
  <si>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</si>
  <si>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</si>
  <si>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</si>
  <si>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</si>
  <si>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</si>
  <si>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</si>
  <si>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</si>
  <si>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</si>
  <si>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</si>
  <si>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</si>
  <si>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</si>
  <si>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</si>
  <si>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</si>
  <si>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</si>
  <si>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</si>
  <si>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</si>
  <si>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</si>
  <si>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</si>
  <si>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</si>
  <si>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</si>
  <si>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</si>
  <si>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</si>
  <si>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</si>
  <si>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</si>
  <si>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</si>
  <si>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</si>
  <si>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</si>
  <si>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</si>
  <si>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</si>
  <si>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</si>
  <si>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</si>
  <si>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</si>
  <si>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</si>
  <si>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</si>
  <si>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</si>
  <si>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</si>
  <si>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</si>
  <si>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</si>
  <si>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</si>
  <si>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</si>
  <si>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</si>
  <si>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</si>
  <si>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</si>
  <si>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</si>
  <si>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</si>
  <si>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</si>
  <si>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</si>
  <si>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</si>
  <si>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</si>
  <si>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</si>
  <si>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</si>
  <si>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</si>
  <si>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</si>
  <si>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</si>
  <si>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</si>
  <si>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</si>
  <si>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</si>
  <si>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</si>
  <si>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</si>
  <si>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</si>
  <si>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</si>
  <si>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</si>
  <si>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</si>
  <si>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</si>
  <si>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</si>
  <si>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</si>
  <si>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</si>
  <si>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</si>
  <si>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</si>
  <si>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</si>
  <si>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</si>
  <si>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</si>
  <si>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</si>
  <si>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</si>
  <si>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</si>
  <si>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</si>
  <si>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</si>
  <si>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</si>
  <si>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</si>
  <si>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</si>
  <si>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</si>
  <si>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</si>
  <si>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</si>
  <si>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</si>
  <si>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</si>
  <si>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</si>
  <si>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</si>
  <si>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</si>
  <si>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</si>
  <si>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</si>
  <si>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</si>
  <si>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</si>
  <si>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</si>
  <si>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</si>
  <si>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</si>
  <si>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</si>
  <si>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</si>
  <si>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</si>
  <si>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</si>
  <si>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</si>
  <si>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</si>
  <si>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</si>
  <si>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</si>
  <si>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</si>
  <si>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</si>
  <si>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</si>
  <si>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</si>
  <si>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</si>
  <si>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</si>
  <si>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</si>
  <si>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</si>
  <si>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</si>
  <si>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</si>
  <si>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</si>
  <si>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</si>
  <si>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</si>
  <si>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</si>
  <si>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</si>
  <si>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</si>
  <si>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</si>
  <si>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</si>
  <si>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</si>
  <si>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</si>
  <si>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</si>
  <si>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</si>
  <si>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</si>
  <si>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</si>
  <si>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</si>
  <si>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</si>
  <si>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</si>
  <si>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</si>
  <si>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</si>
  <si>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</si>
  <si>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</si>
  <si>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</si>
  <si>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</si>
  <si>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</si>
  <si>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</si>
  <si>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</si>
  <si>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</si>
  <si>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</si>
  <si>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</si>
  <si>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</si>
  <si>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</si>
  <si>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</si>
  <si>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</si>
  <si>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</si>
  <si>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</si>
  <si>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</si>
  <si>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</si>
  <si>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</si>
  <si>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</si>
  <si>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</si>
  <si>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</si>
  <si>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</si>
  <si>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</si>
  <si>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</si>
  <si>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</si>
  <si>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</si>
  <si>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</si>
  <si>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</si>
  <si>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</si>
  <si>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</si>
  <si>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</si>
  <si>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</si>
  <si>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</si>
  <si>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</si>
  <si>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</si>
  <si>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</si>
  <si>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</si>
  <si>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</si>
  <si>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</si>
  <si>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</si>
  <si>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</si>
  <si>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</si>
  <si>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</si>
  <si>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</si>
  <si>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</si>
  <si>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</si>
  <si>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</si>
  <si>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</si>
  <si>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</si>
  <si>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</si>
  <si>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</si>
  <si>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</si>
  <si>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</si>
  <si>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</si>
  <si>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</si>
  <si>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</si>
  <si>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</si>
  <si>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</si>
  <si>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</si>
  <si>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</si>
  <si>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</si>
  <si>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</si>
  <si>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</si>
  <si>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</si>
  <si>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</si>
  <si>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</si>
  <si>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</si>
  <si>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</si>
  <si>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</si>
  <si>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</si>
  <si>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</si>
  <si>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</si>
  <si>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</si>
  <si>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</si>
  <si>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</si>
  <si>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</si>
  <si>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</si>
  <si>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</si>
  <si>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</si>
  <si>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</si>
  <si>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</si>
  <si>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</si>
  <si>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</si>
  <si>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</si>
  <si>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</si>
  <si>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</si>
  <si>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</si>
  <si>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</si>
  <si>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</si>
  <si>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</si>
  <si>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</si>
  <si>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</si>
  <si>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</si>
  <si>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</si>
  <si>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</si>
  <si>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</si>
  <si>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</si>
  <si>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</si>
  <si>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</si>
  <si>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</si>
  <si>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</si>
  <si>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</si>
  <si>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</si>
  <si>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</si>
  <si>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</si>
  <si>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</si>
  <si>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</si>
  <si>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</si>
  <si>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</si>
  <si>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</si>
  <si>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</si>
  <si>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</si>
  <si>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</si>
  <si>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</si>
  <si>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</si>
  <si>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</si>
  <si>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</si>
  <si>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</si>
  <si>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</si>
  <si>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</si>
  <si>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</si>
  <si>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</si>
  <si>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</si>
  <si>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</si>
  <si>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</si>
  <si>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</si>
  <si>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</si>
  <si>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</si>
  <si>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</si>
  <si>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</si>
  <si>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</si>
  <si>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</si>
  <si>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</si>
  <si>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</si>
  <si>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</si>
  <si>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</si>
  <si>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</si>
  <si>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</si>
  <si>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</si>
  <si>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</si>
  <si>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</si>
  <si>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</si>
  <si>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</si>
  <si>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</si>
  <si>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</si>
  <si>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</si>
  <si>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</si>
  <si>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</si>
  <si>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</si>
  <si>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</si>
  <si>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</si>
  <si>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</si>
  <si>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</si>
  <si>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</si>
  <si>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</si>
  <si>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</si>
  <si>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</si>
  <si>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</si>
  <si>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</si>
  <si>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</si>
  <si>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</si>
  <si>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</si>
  <si>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</si>
  <si>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</si>
  <si>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</si>
  <si>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</si>
  <si>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</si>
  <si>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</si>
  <si>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</si>
  <si>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</si>
  <si>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</si>
  <si>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</si>
  <si>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</si>
  <si>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</si>
  <si>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</si>
  <si>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</si>
  <si>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</si>
  <si>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</si>
  <si>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</si>
  <si>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</si>
  <si>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</si>
  <si>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</si>
  <si>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</si>
  <si>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</si>
  <si>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</si>
  <si>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</si>
  <si>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</si>
  <si>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</si>
  <si>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</si>
  <si>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</si>
  <si>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</si>
  <si>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</si>
  <si>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</si>
  <si>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</si>
  <si>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</si>
  <si>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</si>
  <si>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</si>
  <si>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</si>
  <si>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</si>
  <si>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</si>
  <si>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</si>
  <si>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</si>
  <si>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</si>
  <si>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</si>
  <si>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</si>
  <si>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</si>
  <si>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</si>
  <si>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</si>
  <si>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</si>
  <si>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</si>
  <si>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</si>
  <si>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</si>
  <si>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</si>
  <si>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</si>
  <si>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</si>
  <si>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</si>
  <si>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</si>
  <si>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</si>
  <si>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</si>
  <si>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</si>
  <si>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</si>
  <si>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</si>
  <si>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</si>
  <si>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</si>
  <si>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</si>
  <si>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</si>
  <si>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</si>
  <si>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</si>
  <si>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</si>
  <si>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</si>
  <si>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</si>
  <si>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</si>
  <si>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</si>
  <si>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</si>
  <si>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</si>
  <si>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</si>
  <si>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</si>
  <si>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</si>
  <si>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</si>
  <si>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</si>
  <si>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</si>
  <si>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</si>
  <si>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</si>
  <si>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</si>
  <si>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</si>
  <si>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</si>
  <si>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</si>
  <si>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</si>
  <si>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</si>
  <si>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</si>
  <si>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</si>
  <si>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</si>
  <si>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</si>
  <si>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</si>
  <si>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</si>
  <si>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</si>
  <si>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</si>
  <si>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</si>
  <si>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</si>
  <si>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</si>
  <si>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</si>
  <si>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</si>
  <si>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</si>
  <si>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</si>
  <si>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</si>
  <si>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</si>
  <si>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</si>
  <si>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</si>
  <si>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</si>
  <si>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</si>
  <si>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</si>
  <si>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</si>
  <si>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</si>
  <si>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</si>
  <si>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</si>
  <si>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</si>
  <si>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</si>
  <si>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</si>
  <si>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</si>
  <si>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</si>
  <si>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</si>
  <si>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</si>
  <si>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</si>
  <si>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</si>
  <si>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</si>
  <si>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</si>
  <si>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</si>
  <si>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</si>
  <si>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</si>
  <si>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</si>
  <si>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</si>
  <si>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</si>
  <si>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</si>
  <si>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</si>
  <si>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</si>
  <si>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</si>
  <si>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</si>
  <si>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</si>
  <si>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</si>
  <si>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</si>
  <si>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</si>
  <si>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</si>
  <si>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</si>
  <si>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</si>
  <si>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</si>
  <si>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</si>
  <si>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</si>
  <si>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</si>
  <si>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</si>
  <si>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</si>
  <si>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</si>
  <si>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</si>
  <si>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</si>
  <si>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</si>
  <si>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</si>
  <si>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</si>
  <si>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</si>
  <si>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</si>
  <si>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</si>
  <si>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</si>
  <si>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</si>
  <si>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</si>
  <si>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</si>
  <si>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</si>
  <si>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</si>
  <si>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</si>
  <si>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</si>
  <si>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</si>
  <si>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</si>
  <si>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</si>
  <si>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</si>
  <si>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</si>
  <si>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</si>
  <si>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</si>
  <si>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</si>
  <si>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</si>
  <si>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</si>
  <si>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</si>
  <si>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</si>
  <si>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</si>
  <si>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</si>
  <si>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</si>
  <si>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</si>
  <si>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</si>
  <si>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</si>
  <si>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</si>
  <si>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</si>
  <si>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</si>
  <si>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</si>
  <si>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</si>
  <si>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</si>
  <si>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</si>
  <si>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</si>
  <si>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</si>
  <si>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</si>
  <si>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</si>
  <si>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</si>
  <si>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</si>
  <si>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</si>
  <si>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</si>
  <si>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</si>
  <si>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</si>
  <si>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</si>
  <si>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</si>
  <si>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</si>
  <si>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</si>
  <si>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</si>
  <si>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</si>
  <si>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</si>
  <si>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</si>
  <si>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</si>
  <si>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</si>
  <si>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</si>
  <si>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</si>
  <si>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</si>
  <si>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</si>
  <si>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</si>
  <si>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</si>
  <si>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</si>
  <si>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</si>
  <si>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</si>
  <si>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</si>
  <si>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</si>
  <si>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</si>
  <si>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</si>
  <si>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</si>
  <si>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</si>
  <si>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</si>
  <si>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</si>
  <si>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</si>
  <si>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</si>
  <si>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</si>
  <si>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</si>
  <si>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</si>
  <si>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</si>
  <si>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</si>
  <si>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</si>
  <si>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</si>
  <si>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</si>
  <si>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</si>
  <si>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</si>
  <si>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</si>
  <si>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</si>
  <si>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</si>
  <si>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</si>
  <si>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</si>
  <si>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</si>
  <si>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</si>
  <si>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</si>
  <si>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</si>
  <si>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</si>
  <si>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</si>
  <si>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</si>
  <si>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</si>
  <si>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</si>
  <si>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</si>
  <si>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</si>
  <si>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</si>
  <si>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</si>
  <si>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</si>
  <si>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</si>
  <si>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</si>
  <si>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</si>
  <si>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</si>
  <si>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</si>
  <si>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</si>
  <si>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</si>
  <si>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</si>
  <si>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</si>
  <si>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</si>
  <si>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</si>
  <si>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</si>
  <si>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</si>
  <si>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</si>
  <si>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</si>
  <si>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</si>
  <si>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</si>
  <si>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</si>
  <si>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</si>
  <si>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</si>
  <si>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</si>
  <si>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</si>
  <si>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</si>
  <si>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</si>
  <si>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</si>
  <si>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</si>
  <si>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</si>
  <si>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</si>
  <si>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</si>
  <si>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</si>
  <si>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</si>
  <si>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</si>
  <si>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</si>
  <si>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</si>
  <si>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</si>
  <si>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</si>
  <si>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</si>
  <si>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</si>
  <si>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</si>
  <si>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</si>
  <si>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</si>
  <si>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</si>
  <si>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</si>
  <si>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</si>
  <si>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</si>
  <si>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</si>
  <si>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</si>
  <si>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</si>
  <si>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</si>
  <si>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</si>
  <si>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</si>
  <si>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</si>
  <si>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</si>
  <si>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</si>
  <si>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</si>
  <si>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</si>
  <si>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</si>
  <si>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</si>
  <si>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</si>
  <si>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</si>
  <si>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</si>
  <si>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</si>
  <si>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</si>
  <si>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</si>
  <si>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</si>
  <si>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</si>
  <si>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</si>
  <si>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</si>
  <si>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</si>
  <si>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</si>
  <si>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</si>
  <si>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</si>
  <si>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</si>
  <si>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</si>
  <si>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</si>
  <si>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</si>
  <si>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</si>
  <si>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</si>
  <si>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</si>
  <si>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</si>
  <si>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</si>
  <si>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</si>
  <si>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</si>
  <si>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</si>
  <si>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</si>
  <si>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</si>
  <si>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</si>
  <si>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</si>
  <si>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</si>
  <si>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</si>
  <si>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</si>
  <si>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</si>
  <si>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</si>
  <si>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</si>
  <si>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</si>
  <si>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</si>
  <si>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</si>
  <si>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</si>
  <si>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</si>
  <si>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</si>
  <si>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</si>
  <si>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</si>
  <si>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</si>
  <si>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</si>
  <si>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</si>
  <si>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</si>
  <si>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</si>
  <si>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</si>
  <si>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</si>
  <si>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</si>
  <si>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</si>
  <si>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</si>
  <si>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</si>
  <si>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</si>
  <si>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</si>
  <si>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</si>
  <si>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</si>
  <si>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</si>
  <si>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</si>
  <si>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</si>
  <si>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</si>
  <si>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</si>
  <si>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</si>
  <si>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</si>
  <si>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</si>
  <si>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</si>
  <si>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</si>
  <si>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</si>
  <si>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</si>
  <si>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</si>
  <si>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</si>
  <si>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</si>
  <si>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</si>
  <si>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</si>
  <si>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</si>
  <si>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</si>
  <si>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</si>
  <si>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</si>
  <si>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</si>
  <si>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</si>
  <si>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</si>
  <si>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</si>
  <si>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</si>
  <si>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</si>
  <si>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</si>
  <si>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</si>
  <si>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</si>
  <si>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</si>
  <si>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</si>
  <si>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</si>
  <si>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</si>
  <si>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</si>
  <si>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</si>
  <si>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</si>
  <si>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</si>
  <si>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</si>
  <si>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</si>
  <si>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</si>
  <si>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</si>
  <si>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</si>
  <si>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</si>
  <si>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</si>
  <si>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</si>
  <si>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</si>
  <si>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</si>
  <si>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</si>
  <si>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</si>
  <si>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</si>
  <si>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</si>
  <si>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</si>
  <si>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</si>
  <si>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</si>
  <si>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</si>
  <si>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</si>
  <si>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</si>
  <si>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</si>
  <si>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</si>
  <si>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</si>
  <si>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</si>
  <si>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</si>
  <si>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</si>
  <si>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</si>
  <si>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</si>
  <si>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</si>
  <si>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</si>
  <si>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</si>
  <si>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</si>
  <si>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</si>
  <si>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</si>
  <si>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</si>
  <si>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</si>
  <si>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</si>
  <si>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</si>
  <si>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</si>
  <si>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</si>
  <si>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</si>
  <si>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</si>
  <si>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</si>
  <si>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</si>
  <si>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</si>
  <si>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</si>
  <si>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</si>
  <si>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</si>
  <si>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</si>
  <si>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</si>
  <si>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</si>
  <si>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</si>
  <si>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</si>
  <si>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</si>
  <si>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</si>
  <si>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</si>
  <si>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</si>
  <si>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</si>
  <si>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</si>
  <si>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</si>
  <si>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</si>
  <si>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</si>
  <si>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</si>
  <si>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</si>
  <si>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</si>
  <si>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</si>
  <si>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</si>
  <si>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</si>
  <si>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</si>
  <si>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</si>
  <si>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</si>
  <si>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</si>
  <si>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</si>
  <si>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</si>
  <si>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</si>
  <si>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</si>
  <si>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</si>
  <si>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</si>
  <si>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</si>
  <si>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</si>
  <si>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</si>
  <si>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</si>
  <si>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</si>
  <si>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</si>
  <si>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</si>
  <si>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</si>
  <si>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</si>
  <si>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</si>
  <si>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</si>
  <si>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</si>
  <si>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</si>
  <si>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</si>
  <si>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</si>
  <si>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</si>
  <si>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</si>
  <si>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</si>
  <si>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</si>
  <si>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</si>
  <si>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</si>
  <si>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</si>
  <si>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</si>
  <si>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</si>
  <si>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</si>
  <si>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</si>
  <si>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</si>
  <si>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</si>
  <si>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</si>
  <si>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</si>
  <si>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</si>
  <si>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</si>
  <si>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</si>
  <si>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</si>
  <si>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</si>
  <si>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</si>
  <si>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</si>
  <si>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</si>
  <si>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</si>
  <si>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</si>
  <si>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</si>
  <si>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</si>
  <si>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</si>
  <si>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</si>
  <si>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</si>
  <si>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</si>
  <si>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</si>
  <si>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</si>
  <si>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</si>
  <si>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</si>
  <si>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</si>
  <si>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</si>
  <si>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</si>
  <si>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</si>
  <si>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</si>
  <si>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</si>
  <si>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</si>
  <si>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</si>
  <si>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</si>
  <si>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</si>
  <si>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</si>
  <si>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</si>
  <si>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</si>
  <si>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</si>
  <si>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</si>
  <si>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</si>
  <si>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</si>
  <si>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</si>
  <si>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</si>
  <si>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</si>
  <si>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</si>
  <si>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</si>
  <si>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</si>
  <si>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</si>
  <si>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</si>
  <si>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</si>
  <si>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</si>
  <si>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</si>
  <si>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</si>
  <si>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</si>
  <si>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</si>
  <si>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</si>
  <si>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</si>
  <si>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</si>
  <si>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</si>
  <si>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</si>
  <si>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</si>
  <si>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</si>
  <si>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</si>
  <si>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</si>
  <si>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</si>
  <si>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</si>
  <si>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</si>
  <si>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</si>
  <si>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</si>
  <si>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</si>
  <si>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</si>
  <si>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</si>
  <si>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</si>
  <si>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</si>
  <si>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</si>
  <si>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</si>
  <si>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</si>
  <si>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</si>
  <si>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</si>
  <si>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</si>
  <si>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</si>
  <si>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</si>
  <si>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</si>
  <si>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</si>
  <si>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</si>
  <si>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</si>
  <si>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</si>
  <si>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</si>
  <si>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</si>
  <si>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</si>
  <si>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</si>
  <si>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</si>
  <si>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</si>
  <si>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</si>
  <si>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</si>
  <si>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</si>
  <si>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</si>
  <si>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</si>
  <si>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</si>
  <si>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</si>
  <si>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</si>
  <si>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</si>
  <si>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</si>
  <si>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</si>
  <si>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</si>
  <si>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</si>
  <si>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</si>
  <si>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</si>
  <si>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</si>
  <si>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</si>
  <si>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</si>
  <si>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</si>
  <si>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</si>
  <si>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</si>
  <si>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</si>
  <si>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</si>
  <si>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</si>
  <si>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</si>
  <si>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</si>
  <si>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</si>
  <si>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</si>
  <si>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</si>
  <si>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</si>
  <si>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</si>
  <si>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</si>
  <si>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</si>
  <si>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</si>
  <si>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</si>
  <si>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</si>
  <si>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</si>
  <si>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</si>
  <si>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</si>
  <si>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</si>
  <si>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</si>
  <si>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</si>
  <si>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</si>
  <si>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</si>
  <si>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</si>
  <si>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</si>
  <si>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</si>
  <si>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</si>
  <si>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</si>
  <si>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</si>
  <si>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</si>
  <si>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</si>
  <si>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</si>
  <si>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</si>
  <si>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</si>
  <si>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</si>
  <si>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</si>
  <si>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</si>
  <si>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</si>
  <si>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</si>
  <si>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</si>
  <si>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</si>
  <si>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</si>
  <si>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</si>
  <si>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</si>
  <si>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</si>
  <si>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</si>
  <si>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</si>
  <si>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</si>
  <si>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</si>
  <si>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</si>
  <si>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</si>
  <si>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</si>
  <si>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</si>
  <si>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</si>
  <si>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</si>
  <si>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</si>
  <si>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</si>
  <si>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</si>
  <si>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</si>
  <si>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</si>
  <si>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</si>
  <si>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</si>
  <si>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</si>
  <si>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</si>
  <si>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</si>
  <si>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</si>
  <si>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</si>
  <si>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</si>
  <si>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</si>
  <si>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</si>
  <si>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</si>
  <si>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</si>
  <si>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</si>
  <si>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</si>
  <si>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</si>
  <si>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</si>
  <si>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</si>
  <si>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</si>
  <si>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</si>
  <si>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</si>
  <si>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</si>
  <si>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</si>
  <si>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</si>
  <si>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</si>
  <si>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</si>
  <si>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</si>
  <si>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</si>
  <si>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</si>
  <si>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</si>
  <si>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</si>
  <si>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</si>
  <si>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</si>
  <si>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</si>
  <si>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</si>
  <si>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</si>
  <si>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</si>
  <si>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</si>
  <si>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</si>
  <si>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</si>
  <si>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</si>
  <si>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</si>
  <si>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</si>
  <si>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</si>
  <si>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</si>
  <si>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</si>
  <si>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</si>
  <si>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</si>
  <si>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</si>
  <si>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</si>
  <si>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</si>
  <si>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</si>
  <si>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</si>
  <si>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</si>
  <si>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</si>
  <si>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</si>
  <si>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</si>
  <si>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</si>
  <si>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</si>
  <si>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</si>
  <si>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</si>
  <si>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</si>
  <si>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</si>
  <si>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</si>
  <si>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</si>
  <si>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</si>
  <si>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</si>
  <si>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</si>
  <si>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</si>
  <si>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</si>
  <si>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</si>
  <si>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</si>
  <si>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</si>
  <si>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</si>
  <si>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</si>
  <si>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</si>
  <si>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</si>
  <si>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</si>
  <si>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</si>
  <si>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</si>
  <si>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</si>
  <si>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</si>
  <si>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</si>
  <si>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</si>
  <si>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</si>
  <si>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</si>
  <si>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</si>
  <si>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</si>
  <si>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</si>
  <si>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</si>
  <si>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</si>
  <si>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</si>
  <si>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</si>
  <si>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</si>
  <si>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</si>
  <si>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</si>
  <si>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</si>
  <si>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</si>
  <si>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</si>
  <si>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</si>
  <si>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</si>
  <si>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</si>
  <si>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</si>
  <si>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</si>
  <si>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</si>
  <si>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</si>
  <si>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</si>
  <si>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</si>
  <si>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</si>
  <si>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</si>
  <si>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</si>
  <si>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</si>
  <si>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</si>
  <si>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</si>
  <si>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</si>
  <si>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</si>
  <si>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</si>
  <si>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</si>
  <si>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</si>
  <si>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</si>
  <si>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</si>
  <si>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</si>
  <si>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</si>
  <si>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</si>
  <si>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</si>
  <si>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</si>
  <si>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</si>
  <si>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</si>
  <si>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</si>
  <si>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</si>
  <si>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</si>
  <si>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</si>
  <si>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</si>
  <si>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</si>
  <si>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</si>
  <si>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</si>
  <si>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</si>
  <si>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</si>
  <si>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</si>
  <si>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</si>
  <si>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</si>
  <si>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</si>
  <si>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</si>
  <si>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</si>
  <si>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</si>
  <si>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</si>
  <si>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</si>
  <si>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</si>
  <si>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</si>
  <si>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</si>
  <si>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</si>
  <si>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</si>
  <si>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</si>
  <si>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</si>
  <si>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</si>
  <si>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</si>
  <si>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</si>
  <si>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</si>
  <si>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</si>
  <si>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</si>
  <si>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</si>
  <si>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</si>
  <si>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</si>
  <si>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</si>
  <si>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</si>
  <si>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</si>
  <si>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</si>
  <si>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</si>
  <si>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</si>
  <si>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</si>
  <si>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</si>
  <si>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</si>
  <si>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</si>
  <si>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</si>
  <si>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</si>
  <si>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</si>
  <si>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</si>
  <si>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</si>
  <si>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</si>
  <si>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</si>
  <si>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</si>
  <si>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</si>
  <si>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</si>
  <si>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</si>
  <si>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</si>
  <si>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</si>
  <si>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</si>
  <si>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</si>
  <si>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</si>
  <si>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</si>
  <si>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</si>
  <si>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</si>
  <si>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</si>
  <si>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</si>
  <si>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</si>
  <si>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</si>
  <si>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</si>
  <si>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</si>
  <si>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</si>
  <si>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</si>
  <si>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</si>
  <si>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</si>
  <si>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</si>
  <si>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</si>
  <si>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</si>
  <si>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</si>
  <si>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</si>
  <si>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</si>
  <si>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</si>
  <si>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</si>
  <si>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</si>
  <si>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</si>
  <si>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</si>
  <si>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</si>
  <si>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</si>
  <si>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</si>
  <si>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</si>
  <si>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</si>
  <si>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</si>
  <si>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</si>
  <si>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</si>
  <si>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</si>
  <si>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</si>
  <si>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</si>
  <si>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</si>
  <si>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</si>
  <si>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</si>
  <si>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</si>
  <si>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</si>
  <si>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</si>
  <si>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</si>
  <si>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</si>
  <si>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</si>
  <si>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</si>
  <si>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</si>
  <si>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</si>
  <si>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</si>
  <si>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</si>
  <si>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</si>
  <si>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</si>
  <si>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</si>
  <si>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</si>
  <si>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</si>
  <si>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</si>
  <si>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</si>
  <si>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</si>
  <si>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</si>
  <si>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</si>
  <si>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</si>
  <si>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</si>
  <si>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</si>
  <si>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</si>
  <si>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</si>
  <si>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</si>
  <si>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</si>
  <si>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</si>
  <si>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</si>
  <si>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</si>
  <si>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</si>
  <si>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</si>
  <si>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</si>
  <si>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</si>
  <si>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</si>
  <si>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</si>
  <si>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</si>
  <si>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</si>
  <si>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</si>
  <si>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</si>
  <si>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</si>
  <si>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</si>
  <si>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</si>
  <si>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</si>
  <si>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</si>
  <si>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</si>
  <si>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</si>
  <si>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</si>
  <si>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</si>
  <si>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</si>
  <si>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</si>
  <si>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</si>
  <si>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</si>
  <si>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</si>
  <si>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</si>
  <si>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</si>
  <si>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</si>
  <si>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</si>
  <si>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</si>
  <si>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</si>
  <si>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</si>
  <si>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</si>
  <si>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</si>
  <si>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</si>
  <si>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</si>
  <si>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</si>
  <si>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</si>
  <si>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</si>
  <si>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</si>
  <si>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</si>
  <si>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</si>
  <si>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</si>
  <si>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</si>
  <si>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</si>
  <si>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</si>
  <si>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</si>
  <si>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</si>
  <si>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</si>
  <si>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</si>
  <si>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</si>
  <si>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</si>
  <si>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</si>
  <si>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</si>
  <si>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</si>
  <si>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</si>
  <si>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</si>
  <si>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</si>
  <si>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</si>
  <si>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</si>
  <si>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</si>
  <si>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</si>
  <si>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</si>
  <si>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</si>
  <si>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</si>
  <si>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</si>
  <si>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</si>
  <si>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</si>
  <si>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</si>
  <si>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</si>
  <si>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</si>
  <si>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</si>
  <si>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</si>
  <si>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</si>
  <si>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</si>
  <si>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</si>
  <si>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</si>
  <si>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</si>
  <si>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</si>
  <si>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</si>
  <si>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</si>
  <si>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</si>
  <si>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</si>
  <si>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</si>
  <si>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</si>
  <si>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</si>
  <si>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</si>
  <si>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</si>
  <si>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</si>
  <si>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</si>
  <si>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</si>
  <si>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</si>
  <si>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</si>
  <si>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</si>
  <si>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</si>
  <si>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</si>
  <si>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</si>
  <si>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</si>
  <si>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</si>
  <si>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</si>
  <si>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</si>
  <si>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</si>
  <si>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</si>
  <si>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</si>
  <si>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</si>
  <si>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</si>
  <si>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</si>
  <si>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</si>
  <si>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</si>
  <si>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</si>
  <si>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</si>
  <si>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</si>
  <si>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</si>
  <si>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</si>
  <si>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</si>
  <si>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</si>
  <si>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</si>
  <si>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</si>
  <si>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</si>
  <si>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</si>
  <si>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</si>
  <si>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</si>
  <si>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</si>
  <si>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</si>
  <si>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</si>
  <si>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</si>
  <si>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</si>
  <si>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</si>
  <si>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</si>
  <si>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</si>
  <si>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</si>
  <si>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</si>
  <si>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</si>
  <si>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</si>
  <si>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</si>
  <si>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</si>
  <si>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</si>
  <si>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</si>
  <si>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</si>
  <si>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</si>
  <si>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</si>
  <si>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</si>
  <si>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</si>
  <si>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</si>
  <si>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</si>
  <si>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</si>
  <si>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</si>
  <si>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</si>
  <si>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</si>
  <si>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</si>
  <si>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</si>
  <si>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</si>
  <si>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</si>
  <si>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</si>
  <si>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</si>
  <si>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</si>
  <si>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</si>
  <si>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</si>
  <si>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</si>
  <si>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</si>
  <si>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</si>
  <si>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</si>
  <si>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</si>
  <si>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</si>
  <si>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</si>
  <si>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</si>
  <si>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</si>
  <si>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</si>
  <si>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</si>
  <si>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</si>
  <si>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</si>
  <si>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</si>
  <si>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</si>
  <si>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</si>
  <si>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</si>
  <si>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</si>
  <si>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</si>
  <si>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</si>
  <si>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</si>
  <si>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</si>
  <si>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</si>
  <si>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</si>
  <si>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</si>
  <si>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</si>
  <si>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</si>
  <si>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</si>
  <si>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</si>
  <si>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</si>
  <si>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</si>
  <si>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</si>
  <si>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</si>
  <si>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</si>
  <si>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</si>
  <si>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</si>
  <si>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</si>
  <si>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</si>
  <si>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</si>
  <si>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</si>
  <si>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</si>
  <si>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</si>
  <si>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</si>
  <si>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</si>
  <si>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</si>
  <si>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</si>
  <si>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</si>
  <si>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</si>
  <si>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</si>
  <si>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</si>
  <si>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</si>
  <si>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</si>
  <si>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</si>
  <si>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</si>
  <si>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</si>
  <si>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</si>
  <si>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</si>
  <si>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</si>
  <si>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</si>
  <si>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</si>
  <si>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</si>
  <si>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</si>
  <si>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</si>
  <si>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</si>
  <si>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</si>
  <si>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</si>
  <si>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</si>
  <si>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</si>
  <si>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</si>
  <si>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</si>
  <si>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</si>
  <si>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</si>
  <si>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</si>
  <si>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</si>
  <si>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</si>
  <si>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</si>
  <si>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</si>
  <si>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</si>
  <si>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</si>
  <si>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</si>
  <si>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</si>
  <si>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</si>
  <si>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</si>
  <si>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</si>
  <si>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</si>
  <si>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</si>
  <si>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</si>
  <si>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</si>
  <si>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</si>
  <si>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</si>
  <si>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</si>
  <si>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</si>
  <si>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</si>
  <si>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</si>
  <si>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</si>
  <si>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</si>
  <si>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</si>
  <si>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</si>
  <si>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</si>
  <si>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</si>
  <si>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</si>
  <si>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</si>
  <si>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</si>
  <si>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</si>
  <si>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</si>
  <si>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</si>
  <si>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</si>
  <si>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</si>
  <si>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</si>
  <si>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</si>
  <si>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</si>
  <si>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</si>
  <si>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</si>
  <si>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</si>
  <si>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</si>
  <si>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</si>
  <si>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</si>
  <si>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</si>
  <si>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</si>
  <si>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</si>
  <si>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</si>
  <si>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</si>
  <si>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</si>
  <si>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</si>
  <si>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</si>
  <si>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</si>
  <si>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</si>
  <si>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</si>
  <si>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</si>
  <si>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</si>
  <si>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</si>
  <si>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</si>
  <si>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</si>
  <si>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</si>
  <si>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</si>
  <si>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</si>
  <si>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</si>
  <si>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</si>
  <si>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</si>
  <si>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</si>
  <si>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</si>
  <si>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</si>
  <si>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</si>
  <si>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</si>
  <si>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</si>
  <si>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</si>
  <si>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</si>
  <si>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</si>
  <si>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</si>
  <si>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</si>
  <si>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</si>
  <si>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</si>
  <si>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</si>
  <si>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</si>
  <si>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</si>
  <si>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</si>
  <si>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</si>
  <si>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</si>
  <si>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</si>
  <si>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</si>
  <si>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</si>
  <si>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</si>
  <si>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</si>
  <si>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</si>
  <si>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</si>
  <si>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</si>
  <si>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</si>
  <si>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</si>
  <si>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</si>
  <si>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</si>
  <si>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</si>
  <si>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</si>
  <si>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</si>
  <si>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</si>
  <si>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</si>
  <si>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</si>
  <si>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</si>
  <si>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</si>
  <si>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</si>
  <si>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</si>
  <si>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</si>
  <si>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</si>
  <si>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</si>
  <si>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</si>
  <si>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</si>
  <si>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</si>
  <si>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</si>
  <si>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</si>
  <si>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</si>
  <si>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</si>
  <si>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</si>
  <si>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</si>
  <si>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</si>
  <si>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</si>
  <si>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</si>
  <si>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</si>
  <si>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</si>
  <si>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</si>
  <si>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</si>
  <si>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</si>
  <si>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</si>
  <si>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</si>
  <si>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</si>
  <si>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</si>
  <si>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</si>
  <si>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</si>
  <si>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</si>
  <si>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</si>
  <si>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</si>
  <si>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</si>
  <si>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</si>
  <si>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</si>
  <si>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</si>
  <si>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</si>
  <si>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</si>
  <si>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</si>
  <si>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</si>
  <si>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</si>
  <si>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</si>
  <si>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</si>
  <si>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</si>
  <si>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</si>
  <si>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</si>
  <si>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</si>
  <si>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</si>
  <si>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</si>
  <si>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</si>
  <si>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</si>
  <si>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</si>
  <si>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</si>
  <si>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</si>
  <si>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</si>
  <si>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</si>
  <si>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</si>
  <si>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</si>
  <si>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</si>
  <si>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</si>
  <si>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</si>
  <si>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</si>
  <si>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</si>
  <si>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</si>
  <si>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</si>
  <si>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</si>
  <si>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</si>
  <si>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</si>
  <si>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</si>
  <si>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</si>
  <si>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</si>
  <si>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</si>
  <si>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</si>
  <si>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</si>
  <si>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</si>
  <si>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</si>
  <si>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</si>
  <si>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</si>
  <si>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</si>
  <si>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</si>
  <si>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</si>
  <si>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</si>
  <si>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</si>
  <si>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</si>
  <si>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</si>
  <si>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</si>
  <si>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</si>
  <si>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</si>
  <si>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</si>
  <si>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</si>
  <si>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</si>
  <si>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</si>
  <si>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</si>
  <si>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</si>
  <si>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</si>
  <si>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</si>
  <si>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</si>
  <si>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</si>
  <si>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</si>
  <si>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</si>
  <si>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</si>
  <si>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</si>
  <si>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</si>
  <si>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</si>
  <si>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</si>
  <si>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</si>
  <si>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</si>
  <si>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</si>
  <si>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</si>
  <si>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</si>
  <si>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</si>
  <si>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</si>
  <si>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</si>
  <si>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</si>
  <si>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</si>
  <si>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</si>
  <si>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</si>
  <si>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</si>
  <si>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</si>
  <si>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</si>
  <si>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</si>
  <si>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</si>
  <si>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</si>
  <si>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</si>
  <si>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</si>
  <si>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</si>
  <si>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</si>
  <si>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</si>
  <si>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</si>
  <si>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</si>
  <si>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</si>
  <si>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</si>
  <si>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</si>
  <si>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</si>
  <si>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</si>
  <si>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</si>
  <si>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</si>
  <si>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</si>
  <si>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</si>
  <si>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</si>
  <si>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</si>
  <si>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</si>
  <si>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</si>
  <si>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</si>
  <si>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</si>
  <si>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</si>
  <si>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</si>
  <si>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</si>
  <si>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</si>
  <si>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</si>
  <si>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</si>
  <si>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</si>
  <si>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</si>
  <si>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</si>
  <si>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</si>
  <si>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</si>
  <si>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</si>
  <si>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</si>
  <si>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</si>
  <si>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</si>
  <si>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</si>
  <si>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</si>
  <si>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</si>
  <si>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</si>
  <si>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</si>
  <si>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</si>
  <si>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</si>
  <si>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</si>
  <si>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</si>
  <si>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</si>
  <si>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</si>
  <si>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</si>
  <si>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</si>
  <si>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</si>
  <si>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</si>
  <si>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</si>
  <si>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</si>
  <si>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</si>
  <si>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</si>
  <si>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</si>
  <si>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</si>
  <si>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</si>
  <si>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</si>
  <si>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</si>
  <si>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</si>
  <si>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</si>
  <si>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</si>
  <si>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</si>
  <si>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</si>
  <si>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</si>
  <si>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</si>
  <si>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</si>
  <si>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</si>
  <si>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</si>
  <si>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</si>
  <si>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</si>
  <si>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</si>
  <si>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</si>
  <si>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</si>
  <si>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</si>
  <si>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</si>
  <si>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</si>
  <si>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</si>
  <si>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</si>
  <si>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</si>
  <si>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</si>
  <si>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</si>
  <si>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</si>
  <si>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</si>
  <si>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</si>
  <si>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</si>
  <si>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</si>
  <si>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</si>
  <si>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</si>
  <si>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</si>
  <si>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</si>
  <si>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</si>
  <si>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</si>
  <si>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</si>
  <si>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</si>
  <si>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</si>
  <si>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</si>
  <si>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</si>
  <si>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</si>
  <si>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</si>
  <si>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</si>
  <si>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</si>
  <si>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</si>
  <si>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</si>
  <si>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</si>
  <si>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</si>
  <si>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</si>
  <si>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</si>
  <si>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</si>
  <si>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</si>
  <si>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</si>
  <si>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</si>
  <si>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</si>
  <si>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</si>
  <si>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</si>
  <si>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</si>
  <si>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</si>
  <si>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</si>
  <si>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</si>
  <si>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</si>
  <si>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</si>
  <si>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</si>
  <si>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</si>
  <si>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</si>
  <si>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</si>
  <si>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</si>
  <si>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</si>
  <si>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</si>
  <si>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</si>
  <si>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</si>
  <si>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</si>
  <si>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</si>
  <si>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</si>
  <si>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</si>
  <si>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</si>
  <si>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</si>
  <si>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</si>
  <si>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</si>
  <si>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</si>
  <si>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</si>
  <si>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</si>
  <si>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</si>
  <si>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</si>
  <si>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</si>
  <si>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</si>
  <si>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</si>
  <si>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</si>
  <si>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</si>
  <si>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</si>
  <si>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</si>
  <si>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</si>
  <si>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</si>
  <si>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</si>
  <si>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</si>
  <si>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</si>
  <si>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</si>
  <si>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</si>
  <si>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</si>
  <si>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</si>
  <si>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</si>
  <si>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</si>
  <si>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</si>
  <si>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</si>
  <si>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</si>
  <si>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</si>
  <si>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</si>
  <si>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</si>
  <si>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</si>
  <si>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</si>
  <si>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</si>
  <si>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</si>
  <si>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</si>
  <si>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</si>
  <si>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</si>
  <si>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</si>
  <si>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</si>
  <si>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</si>
  <si>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</si>
  <si>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</si>
  <si>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</si>
  <si>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</si>
  <si>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</si>
  <si>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</si>
  <si>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</si>
  <si>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</si>
  <si>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</si>
  <si>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</si>
  <si>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</si>
  <si>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</si>
  <si>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</si>
  <si>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</si>
  <si>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</si>
  <si>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</si>
  <si>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</si>
  <si>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</si>
  <si>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</si>
  <si>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</si>
  <si>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</si>
  <si>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</si>
  <si>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</si>
  <si>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</si>
  <si>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</si>
  <si>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</si>
  <si>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</si>
  <si>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</si>
  <si>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</si>
  <si>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</si>
  <si>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</si>
  <si>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</si>
  <si>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</si>
  <si>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</si>
  <si>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</si>
  <si>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</si>
  <si>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</si>
  <si>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</si>
  <si>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</si>
  <si>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</si>
  <si>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</si>
  <si>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</si>
  <si>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</si>
  <si>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</si>
  <si>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</si>
  <si>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</si>
  <si>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</si>
  <si>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</si>
  <si>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</si>
  <si>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</si>
  <si>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</si>
  <si>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</si>
  <si>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</si>
  <si>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</si>
  <si>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</si>
  <si>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</si>
  <si>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</si>
  <si>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</si>
  <si>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</si>
  <si>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</si>
  <si>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</si>
  <si>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</si>
  <si>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</si>
  <si>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</si>
  <si>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</si>
  <si>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</si>
  <si>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</si>
  <si>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</si>
  <si>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</si>
  <si>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</si>
  <si>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</si>
  <si>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</si>
  <si>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</si>
  <si>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</si>
  <si>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</si>
  <si>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</si>
  <si>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</si>
  <si>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</si>
  <si>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</si>
  <si>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</si>
  <si>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</si>
  <si>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</si>
  <si>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</si>
  <si>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</si>
  <si>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</si>
  <si>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</si>
  <si>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</si>
  <si>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</si>
  <si>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</si>
  <si>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</si>
  <si>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</si>
  <si>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</si>
  <si>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</si>
  <si>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</si>
  <si>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</si>
  <si>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</si>
  <si>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</si>
  <si>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</si>
  <si>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</si>
  <si>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</si>
  <si>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</si>
  <si>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</si>
  <si>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</si>
  <si>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</si>
  <si>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</si>
  <si>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</si>
  <si>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</si>
  <si>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</si>
  <si>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</si>
  <si>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</si>
  <si>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</si>
  <si>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</si>
  <si>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</si>
  <si>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</si>
  <si>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</si>
  <si>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</si>
  <si>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</si>
  <si>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</si>
  <si>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</si>
  <si>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</si>
  <si>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</si>
  <si>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</si>
  <si>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</si>
  <si>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</si>
  <si>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</si>
  <si>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</si>
  <si>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</si>
  <si>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</si>
  <si>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</si>
  <si>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</si>
  <si>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</si>
  <si>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</si>
  <si>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</si>
  <si>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</si>
  <si>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</si>
  <si>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</si>
  <si>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</si>
  <si>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</si>
  <si>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</si>
  <si>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</si>
  <si>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</si>
  <si>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</si>
  <si>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</si>
  <si>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</si>
  <si>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</si>
  <si>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</si>
  <si>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</si>
  <si>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</si>
  <si>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</si>
  <si>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</si>
  <si>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</si>
  <si>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</si>
  <si>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</si>
  <si>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</si>
  <si>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</si>
  <si>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</si>
  <si>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</si>
  <si>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</si>
  <si>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</si>
  <si>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</si>
  <si>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</si>
  <si>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</si>
  <si>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</si>
  <si>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</si>
  <si>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</si>
  <si>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</si>
  <si>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</si>
  <si>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</si>
  <si>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</si>
  <si>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</si>
  <si>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</si>
  <si>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</si>
  <si>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</si>
  <si>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</si>
  <si>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</si>
  <si>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</si>
  <si>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</si>
  <si>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</si>
  <si>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</si>
  <si>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</si>
  <si>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</si>
  <si>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</si>
  <si>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</si>
  <si>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</si>
  <si>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</si>
  <si>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</si>
  <si>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</si>
  <si>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</si>
  <si>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</si>
  <si>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</si>
  <si>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</si>
  <si>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</si>
  <si>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</si>
  <si>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</si>
  <si>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</si>
  <si>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</si>
  <si>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</si>
  <si>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</si>
  <si>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</si>
  <si>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</si>
  <si>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</si>
  <si>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</si>
  <si>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</si>
  <si>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</si>
  <si>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</si>
  <si>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</si>
  <si>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</si>
  <si>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</si>
  <si>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</si>
  <si>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</si>
  <si>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</si>
  <si>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</si>
  <si>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</si>
  <si>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</si>
  <si>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</si>
  <si>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</si>
  <si>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</si>
  <si>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</si>
  <si>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</si>
  <si>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</si>
  <si>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</si>
  <si>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</si>
  <si>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</si>
  <si>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</si>
  <si>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</si>
  <si>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</si>
  <si>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</si>
  <si>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</si>
  <si>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</si>
  <si>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</si>
  <si>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</si>
  <si>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</si>
  <si>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</si>
  <si>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</si>
  <si>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</si>
  <si>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</si>
  <si>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</si>
  <si>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</si>
  <si>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</si>
  <si>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</si>
  <si>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</si>
  <si>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</si>
  <si>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</si>
  <si>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</si>
  <si>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</si>
  <si>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</si>
  <si>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</si>
  <si>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</si>
  <si>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</si>
  <si>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</si>
  <si>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</si>
  <si>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</si>
  <si>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</si>
  <si>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</si>
  <si>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</si>
  <si>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</si>
  <si>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</si>
  <si>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</si>
  <si>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</si>
  <si>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</si>
  <si>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</si>
  <si>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</si>
  <si>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</si>
  <si>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</si>
  <si>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</si>
  <si>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</si>
  <si>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</si>
  <si>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</si>
  <si>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</si>
  <si>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</si>
  <si>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</si>
  <si>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</si>
  <si>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</si>
  <si>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</si>
  <si>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</si>
  <si>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</si>
  <si>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</si>
  <si>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</si>
  <si>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</si>
  <si>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</si>
  <si>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</si>
  <si>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</si>
  <si>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</si>
  <si>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</si>
  <si>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</si>
  <si>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</si>
  <si>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</si>
  <si>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</si>
  <si>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</si>
  <si>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</si>
  <si>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</si>
  <si>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</si>
  <si>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</si>
  <si>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</si>
  <si>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</si>
  <si>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</si>
  <si>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</si>
  <si>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</si>
  <si>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</si>
  <si>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</si>
  <si>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</si>
  <si>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</si>
  <si>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</si>
  <si>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</si>
  <si>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</si>
  <si>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</si>
  <si>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</si>
  <si>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</si>
  <si>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</si>
  <si>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</si>
  <si>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</si>
  <si>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</si>
  <si>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</si>
  <si>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</si>
  <si>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</si>
  <si>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</si>
  <si>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</si>
  <si>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</si>
  <si>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</si>
  <si>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</si>
  <si>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</si>
  <si>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</si>
  <si>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</si>
  <si>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</si>
  <si>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</si>
  <si>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</si>
  <si>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</si>
  <si>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</si>
  <si>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</si>
  <si>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</si>
  <si>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</si>
  <si>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</si>
  <si>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</si>
  <si>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</si>
  <si>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</si>
  <si>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</si>
  <si>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</si>
  <si>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</si>
  <si>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</si>
  <si>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</si>
  <si>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</si>
  <si>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</si>
  <si>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</si>
  <si>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</si>
  <si>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</si>
  <si>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</si>
  <si>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</si>
  <si>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</si>
  <si>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</si>
  <si>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</si>
  <si>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</si>
  <si>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</si>
  <si>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</si>
  <si>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</si>
  <si>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</si>
  <si>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</si>
  <si>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</si>
  <si>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</si>
  <si>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</si>
  <si>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</si>
  <si>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</si>
  <si>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</si>
  <si>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</si>
  <si>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</si>
  <si>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</si>
  <si>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</si>
  <si>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</si>
  <si>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</si>
  <si>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</si>
  <si>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</si>
  <si>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</si>
  <si>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</si>
  <si>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</si>
  <si>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</si>
  <si>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</si>
  <si>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</si>
  <si>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</si>
  <si>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</si>
  <si>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</si>
  <si>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</si>
  <si>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</si>
  <si>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</si>
  <si>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</si>
  <si>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</si>
  <si>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</si>
  <si>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</si>
  <si>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</si>
  <si>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</si>
  <si>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</si>
  <si>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</si>
  <si>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</si>
  <si>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</si>
  <si>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</si>
  <si>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</si>
  <si>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</si>
  <si>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</si>
  <si>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</si>
  <si>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</si>
  <si>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</si>
  <si>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</si>
  <si>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</si>
  <si>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</si>
  <si>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</si>
  <si>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</si>
  <si>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</si>
  <si>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</si>
  <si>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</si>
  <si>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</si>
  <si>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</si>
  <si>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</si>
  <si>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</si>
  <si>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</si>
  <si>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</si>
  <si>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</si>
  <si>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</si>
  <si>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</si>
  <si>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</si>
  <si>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</si>
  <si>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</si>
  <si>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</si>
  <si>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</si>
  <si>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</si>
  <si>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</si>
  <si>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</si>
  <si>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</si>
  <si>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</si>
  <si>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</si>
  <si>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</si>
  <si>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</si>
  <si>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</si>
  <si>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</si>
  <si>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</si>
  <si>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</si>
  <si>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</si>
  <si>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</si>
  <si>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</si>
  <si>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</si>
  <si>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</si>
  <si>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</si>
  <si>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</si>
  <si>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</si>
  <si>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</si>
  <si>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</si>
  <si>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</si>
  <si>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</si>
  <si>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</si>
  <si>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</si>
  <si>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</si>
  <si>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</si>
  <si>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</si>
  <si>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</si>
  <si>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</si>
  <si>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</si>
  <si>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</si>
  <si>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</si>
  <si>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</si>
  <si>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</si>
  <si>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</si>
  <si>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</si>
  <si>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</si>
  <si>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</si>
  <si>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</si>
  <si>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</si>
  <si>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</si>
  <si>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</si>
  <si>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</si>
  <si>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</si>
  <si>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</si>
  <si>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</si>
  <si>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</si>
  <si>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</si>
  <si>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</si>
  <si>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</si>
  <si>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</si>
  <si>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</si>
  <si>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</si>
  <si>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</si>
  <si>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</si>
  <si>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</si>
  <si>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</si>
  <si>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</si>
  <si>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</si>
  <si>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</si>
  <si>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</si>
  <si>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</si>
  <si>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</si>
  <si>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</si>
  <si>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</si>
  <si>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</si>
  <si>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</si>
  <si>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</si>
  <si>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</si>
  <si>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</si>
  <si>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</si>
  <si>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</si>
  <si>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</si>
  <si>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</si>
  <si>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</si>
  <si>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</si>
  <si>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</si>
  <si>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</si>
  <si>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</si>
  <si>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</si>
  <si>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</si>
  <si>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</si>
  <si>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</si>
  <si>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</si>
  <si>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</si>
  <si>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</si>
  <si>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</si>
  <si>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</si>
  <si>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</si>
  <si>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</si>
  <si>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</si>
  <si>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</si>
  <si>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</si>
  <si>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</si>
  <si>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</si>
  <si>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</si>
  <si>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</si>
  <si>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</si>
  <si>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</si>
  <si>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</si>
  <si>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</si>
  <si>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</si>
  <si>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</si>
  <si>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</si>
  <si>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</si>
  <si>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</si>
  <si>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</si>
  <si>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</si>
  <si>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</si>
  <si>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</si>
  <si>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</si>
  <si>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</si>
  <si>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</si>
  <si>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</si>
  <si>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</si>
  <si>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</si>
  <si>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</si>
  <si>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</si>
  <si>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</si>
  <si>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</si>
  <si>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</si>
  <si>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</si>
  <si>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</si>
  <si>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</si>
  <si>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</si>
  <si>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</si>
  <si>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</si>
  <si>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</si>
  <si>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</si>
  <si>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</si>
  <si>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</si>
  <si>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</si>
  <si>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</si>
  <si>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</si>
  <si>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</si>
  <si>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</si>
  <si>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</si>
  <si>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</si>
  <si>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</si>
  <si>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</si>
  <si>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</si>
  <si>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</si>
  <si>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</si>
  <si>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</si>
  <si>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</si>
  <si>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</si>
  <si>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</si>
  <si>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</si>
  <si>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</si>
  <si>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</si>
  <si>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</si>
  <si>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</si>
  <si>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</si>
  <si>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</si>
  <si>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</si>
  <si>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</si>
  <si>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</si>
  <si>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</si>
  <si>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</si>
  <si>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</si>
  <si>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</si>
  <si>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</si>
  <si>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</si>
  <si>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</si>
  <si>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</si>
  <si>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</si>
  <si>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</si>
  <si>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</si>
  <si>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</si>
  <si>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</si>
  <si>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</si>
  <si>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</si>
  <si>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</si>
  <si>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</si>
  <si>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</si>
  <si>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</si>
  <si>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</si>
  <si>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</si>
  <si>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</si>
  <si>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</si>
  <si>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</si>
  <si>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</si>
  <si>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</si>
  <si>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</si>
  <si>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</si>
  <si>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</si>
  <si>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</si>
  <si>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</si>
  <si>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</si>
  <si>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</si>
  <si>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</si>
  <si>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</si>
  <si>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</si>
  <si>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</si>
  <si>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</si>
  <si>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</si>
  <si>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</si>
  <si>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</si>
  <si>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</si>
  <si>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</si>
  <si>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</si>
  <si>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</si>
  <si>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</si>
  <si>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</si>
  <si>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</si>
  <si>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</si>
  <si>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</si>
  <si>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</si>
  <si>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</si>
  <si>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</si>
  <si>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</si>
  <si>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</si>
  <si>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</si>
  <si>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</si>
  <si>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</si>
  <si>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</si>
  <si>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</si>
  <si>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</si>
  <si>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</si>
  <si>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</si>
  <si>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</si>
  <si>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</si>
  <si>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</si>
  <si>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</si>
  <si>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</si>
  <si>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</si>
  <si>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</si>
  <si>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</si>
  <si>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</si>
  <si>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</si>
  <si>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</si>
  <si>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</si>
  <si>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</si>
  <si>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</si>
  <si>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</si>
  <si>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</si>
  <si>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</si>
  <si>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</si>
  <si>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</si>
  <si>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</si>
  <si>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</si>
  <si>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</si>
  <si>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</si>
  <si>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</si>
  <si>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</si>
  <si>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</si>
  <si>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</si>
  <si>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</si>
  <si>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</si>
  <si>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</si>
  <si>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</si>
  <si>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</si>
  <si>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</si>
  <si>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</si>
  <si>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</si>
  <si>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</si>
  <si>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</si>
  <si>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</si>
  <si>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</si>
  <si>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</si>
  <si>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</si>
  <si>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</si>
  <si>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</si>
  <si>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</si>
  <si>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</si>
  <si>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</si>
  <si>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</si>
  <si>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</si>
  <si>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</si>
  <si>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</si>
  <si>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</si>
  <si>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</si>
  <si>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</si>
  <si>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</si>
  <si>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</si>
  <si>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</si>
  <si>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</si>
  <si>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</si>
  <si>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</si>
  <si>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</si>
  <si>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</si>
  <si>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</si>
  <si>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</si>
  <si>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</si>
  <si>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</si>
  <si>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</si>
  <si>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</si>
  <si>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</si>
  <si>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</si>
  <si>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</si>
  <si>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</si>
  <si>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</si>
  <si>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</si>
  <si>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</si>
  <si>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</si>
  <si>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</si>
  <si>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</si>
  <si>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</si>
  <si>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</si>
  <si>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</si>
  <si>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</si>
  <si>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</si>
  <si>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</si>
  <si>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</si>
  <si>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</si>
  <si>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</si>
  <si>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</si>
  <si>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</si>
  <si>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</si>
  <si>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</si>
  <si>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</si>
  <si>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</si>
  <si>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</si>
  <si>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</si>
  <si>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</si>
  <si>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</si>
  <si>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</si>
  <si>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</si>
  <si>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</si>
  <si>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</si>
  <si>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</si>
  <si>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</si>
  <si>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</si>
  <si>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</si>
  <si>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</si>
  <si>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</si>
  <si>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</si>
  <si>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</si>
  <si>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</si>
  <si>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</si>
  <si>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</si>
  <si>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</si>
  <si>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</si>
  <si>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</si>
  <si>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</si>
  <si>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</si>
  <si>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</si>
  <si>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</si>
  <si>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</si>
  <si>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</si>
  <si>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</si>
  <si>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</si>
  <si>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</si>
  <si>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</si>
  <si>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</si>
  <si>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</si>
  <si>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</si>
  <si>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</si>
  <si>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</si>
  <si>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</si>
  <si>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</si>
  <si>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</si>
  <si>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</si>
  <si>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</si>
  <si>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</si>
  <si>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</si>
  <si>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</si>
  <si>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</si>
  <si>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</si>
  <si>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</si>
  <si>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</si>
  <si>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</si>
  <si>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</si>
  <si>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</si>
  <si>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</si>
  <si>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</si>
  <si>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</si>
  <si>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</si>
  <si>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</si>
  <si>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</si>
  <si>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</si>
  <si>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</si>
  <si>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</si>
  <si>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</si>
  <si>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</si>
  <si>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</si>
  <si>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</si>
  <si>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</si>
  <si>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</si>
  <si>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</si>
  <si>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</si>
  <si>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</si>
  <si>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</si>
  <si>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</si>
  <si>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</si>
  <si>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</si>
  <si>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</si>
  <si>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</si>
  <si>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</si>
  <si>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</si>
  <si>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</si>
  <si>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</si>
  <si>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</si>
  <si>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</si>
  <si>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</si>
  <si>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</si>
  <si>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</si>
  <si>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</si>
  <si>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</si>
  <si>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</si>
  <si>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</si>
  <si>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</si>
  <si>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</si>
  <si>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</si>
  <si>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</si>
  <si>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</si>
  <si>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</si>
  <si>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</si>
  <si>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</si>
  <si>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</si>
  <si>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</si>
  <si>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</si>
  <si>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</si>
  <si>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</si>
  <si>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</si>
  <si>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</si>
  <si>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</si>
  <si>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</si>
  <si>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</si>
  <si>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</si>
  <si>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</si>
  <si>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</si>
  <si>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</si>
  <si>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</si>
  <si>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</si>
  <si>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</si>
  <si>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</si>
  <si>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</si>
  <si>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</si>
  <si>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</si>
  <si>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</si>
  <si>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</si>
  <si>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</si>
  <si>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</si>
  <si>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</si>
  <si>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</si>
  <si>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</si>
  <si>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</si>
  <si>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</si>
  <si>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</si>
  <si>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</si>
  <si>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</si>
  <si>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</si>
  <si>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</si>
  <si>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</si>
  <si>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</si>
  <si>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</si>
  <si>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</si>
  <si>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</si>
  <si>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</si>
  <si>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</si>
  <si>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</si>
  <si>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</si>
  <si>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</si>
  <si>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</si>
  <si>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</si>
  <si>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</si>
  <si>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</si>
  <si>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</si>
  <si>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</si>
  <si>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</si>
  <si>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</si>
  <si>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</si>
  <si>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</si>
  <si>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</si>
  <si>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</si>
  <si>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</si>
  <si>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</si>
  <si>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</si>
  <si>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</si>
  <si>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</si>
  <si>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</si>
  <si>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</si>
  <si>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</si>
  <si>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</si>
  <si>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</si>
  <si>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</si>
  <si>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</si>
  <si>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</si>
  <si>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</si>
  <si>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</si>
  <si>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</si>
  <si>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</si>
  <si>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</si>
  <si>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</si>
  <si>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</si>
  <si>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</si>
  <si>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</si>
  <si>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</si>
  <si>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</si>
  <si>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</si>
  <si>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</si>
  <si>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</si>
  <si>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</si>
  <si>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</si>
  <si>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</si>
  <si>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</si>
  <si>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</si>
  <si>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</si>
  <si>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</si>
  <si>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</si>
  <si>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</si>
  <si>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</si>
  <si>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</si>
  <si>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</si>
  <si>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</si>
  <si>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</si>
  <si>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</si>
  <si>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</si>
  <si>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</si>
  <si>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</si>
  <si>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</si>
  <si>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</si>
  <si>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</si>
  <si>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</si>
  <si>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</si>
  <si>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</si>
  <si>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</si>
  <si>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</si>
  <si>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</si>
  <si>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</si>
  <si>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</si>
  <si>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</si>
  <si>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</si>
  <si>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</si>
  <si>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</si>
  <si>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</si>
  <si>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</si>
  <si>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</si>
  <si>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</si>
  <si>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</si>
  <si>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</si>
  <si>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</si>
  <si>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</si>
  <si>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</si>
  <si>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</si>
  <si>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</si>
  <si>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</si>
  <si>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</si>
  <si>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</si>
  <si>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</si>
  <si>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</si>
  <si>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</si>
  <si>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</si>
  <si>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</si>
  <si>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</si>
  <si>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</si>
  <si>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</si>
  <si>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</si>
  <si>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</si>
  <si>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</si>
  <si>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</si>
  <si>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</si>
  <si>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</si>
  <si>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</si>
  <si>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</si>
  <si>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</si>
  <si>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</si>
  <si>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</si>
  <si>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</si>
  <si>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</si>
  <si>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</si>
  <si>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</si>
  <si>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</si>
  <si>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</si>
  <si>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</si>
  <si>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</si>
  <si>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</si>
  <si>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</si>
  <si>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</si>
  <si>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</si>
  <si>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</si>
  <si>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</si>
  <si>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</si>
  <si>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</si>
  <si>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</si>
  <si>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</si>
  <si>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</si>
  <si>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</si>
  <si>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</si>
  <si>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</si>
  <si>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</si>
  <si>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</si>
  <si>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</si>
  <si>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</si>
  <si>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</si>
  <si>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</si>
  <si>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</si>
  <si>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</si>
  <si>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</si>
  <si>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</si>
  <si>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</si>
  <si>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</si>
  <si>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</si>
  <si>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</si>
  <si>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</si>
  <si>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</si>
  <si>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</si>
  <si>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</si>
  <si>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</si>
  <si>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</si>
  <si>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</si>
  <si>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</si>
  <si>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</si>
  <si>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</si>
  <si>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</si>
  <si>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</si>
  <si>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</si>
  <si>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</si>
  <si>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</si>
  <si>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</si>
  <si>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</si>
  <si>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</si>
  <si>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</si>
  <si>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</si>
  <si>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</si>
  <si>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</si>
  <si>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</si>
  <si>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</si>
  <si>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</si>
  <si>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</si>
  <si>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</si>
  <si>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</si>
  <si>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</si>
  <si>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</si>
  <si>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</si>
  <si>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</si>
  <si>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</si>
  <si>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</si>
  <si>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</si>
  <si>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</si>
  <si>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</si>
  <si>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</si>
  <si>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</si>
  <si>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</si>
  <si>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</si>
  <si>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</si>
  <si>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</si>
  <si>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</si>
  <si>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</si>
  <si>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</si>
  <si>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</si>
  <si>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</si>
  <si>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</si>
  <si>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</si>
  <si>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</si>
  <si>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</si>
  <si>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</si>
  <si>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</si>
  <si>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</si>
  <si>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</si>
  <si>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</si>
  <si>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</si>
  <si>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</si>
  <si>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</si>
  <si>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</si>
  <si>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</si>
  <si>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</si>
  <si>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</si>
  <si>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</si>
  <si>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</si>
  <si>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</si>
  <si>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</si>
  <si>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</si>
  <si>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</si>
  <si>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</si>
  <si>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</si>
  <si>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</si>
  <si>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</si>
  <si>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</si>
  <si>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</si>
  <si>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</si>
  <si>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</si>
  <si>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</si>
  <si>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</si>
  <si>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</si>
  <si>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</si>
  <si>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</si>
  <si>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</si>
  <si>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</si>
  <si>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</si>
  <si>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</si>
  <si>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</si>
  <si>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</si>
  <si>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</si>
  <si>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</si>
  <si>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</si>
  <si>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</si>
  <si>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</si>
  <si>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</si>
  <si>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</si>
  <si>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</si>
  <si>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</si>
  <si>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</si>
  <si>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</si>
  <si>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</si>
  <si>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</si>
  <si>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</si>
  <si>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</si>
  <si>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</si>
  <si>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</si>
  <si>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</si>
  <si>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</si>
  <si>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</si>
  <si>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</si>
  <si>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</si>
  <si>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</si>
  <si>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</si>
  <si>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</si>
  <si>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</si>
  <si>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</si>
  <si>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</si>
  <si>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</si>
  <si>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</si>
  <si>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</si>
  <si>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</si>
  <si>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</si>
  <si>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</si>
  <si>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</si>
  <si>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</si>
  <si>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</si>
  <si>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</si>
  <si>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</si>
  <si>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</si>
  <si>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</si>
  <si>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</si>
  <si>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</si>
  <si>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</si>
  <si>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</si>
  <si>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</si>
  <si>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</si>
  <si>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</si>
  <si>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</si>
  <si>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</si>
  <si>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</si>
  <si>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</si>
  <si>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</si>
  <si>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</si>
  <si>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</si>
  <si>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</si>
  <si>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</si>
  <si>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</si>
  <si>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</si>
  <si>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</si>
  <si>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</si>
  <si>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</si>
  <si>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</si>
  <si>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</si>
  <si>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</si>
  <si>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</si>
  <si>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</si>
  <si>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</si>
  <si>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</si>
  <si>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</si>
  <si>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</si>
  <si>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</si>
  <si>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</si>
  <si>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</si>
  <si>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</si>
  <si>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</si>
  <si>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</si>
  <si>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</si>
  <si>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</si>
  <si>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</si>
  <si>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</si>
  <si>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</si>
  <si>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</si>
  <si>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</si>
  <si>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</si>
  <si>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</si>
  <si>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</si>
  <si>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</si>
  <si>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</si>
  <si>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</si>
  <si>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</si>
  <si>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</si>
  <si>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</si>
  <si>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</si>
  <si>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</si>
  <si>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</si>
  <si>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</si>
  <si>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</si>
  <si>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</si>
  <si>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</si>
  <si>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</si>
  <si>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</si>
  <si>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</si>
  <si>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</si>
  <si>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</si>
  <si>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</si>
  <si>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</si>
  <si>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</si>
  <si>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</si>
  <si>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</si>
  <si>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</si>
  <si>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</si>
  <si>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</si>
  <si>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</si>
  <si>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</si>
  <si>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</si>
  <si>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</si>
  <si>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</si>
  <si>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</si>
  <si>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</si>
  <si>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</si>
  <si>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</si>
  <si>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</si>
  <si>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</si>
  <si>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</si>
  <si>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</si>
  <si>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</si>
  <si>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</si>
  <si>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</si>
  <si>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</si>
  <si>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</si>
  <si>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</si>
  <si>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</si>
  <si>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</si>
  <si>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</si>
  <si>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</si>
  <si>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</si>
  <si>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</si>
  <si>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</si>
  <si>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</si>
  <si>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</si>
  <si>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</si>
  <si>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</si>
  <si>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</si>
  <si>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</si>
  <si>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</si>
  <si>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</si>
  <si>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</si>
  <si>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</si>
  <si>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</si>
  <si>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</si>
  <si>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</si>
  <si>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</si>
  <si>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</si>
  <si>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</si>
  <si>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</si>
  <si>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</si>
  <si>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</si>
  <si>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</si>
  <si>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</si>
  <si>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</si>
  <si>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</si>
  <si>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</si>
  <si>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</si>
  <si>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</si>
  <si>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</si>
  <si>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</si>
  <si>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</si>
  <si>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</si>
  <si>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</si>
  <si>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</si>
  <si>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</si>
  <si>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</si>
  <si>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</si>
  <si>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</si>
  <si>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</si>
  <si>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</si>
  <si>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</si>
  <si>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</si>
  <si>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</si>
  <si>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</si>
  <si>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</si>
  <si>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</si>
  <si>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</si>
  <si>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</si>
  <si>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</si>
  <si>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</si>
  <si>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</si>
  <si>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</si>
  <si>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</si>
  <si>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</si>
  <si>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</si>
  <si>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</si>
  <si>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</si>
  <si>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</si>
  <si>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</si>
  <si>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</si>
  <si>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</si>
  <si>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</si>
  <si>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</si>
  <si>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</si>
  <si>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</si>
  <si>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</si>
  <si>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</si>
  <si>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</si>
  <si>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</si>
  <si>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</si>
  <si>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</si>
  <si>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</si>
  <si>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</si>
  <si>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</si>
  <si>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</si>
  <si>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</si>
  <si>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</si>
  <si>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</si>
  <si>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</si>
  <si>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</si>
  <si>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</si>
  <si>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</si>
  <si>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</si>
  <si>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</si>
  <si>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</si>
  <si>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</si>
  <si>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</si>
  <si>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</si>
  <si>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</si>
  <si>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</si>
  <si>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</si>
  <si>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</si>
  <si>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</si>
  <si>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</si>
  <si>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</si>
  <si>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</si>
  <si>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</si>
  <si>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</si>
  <si>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</si>
  <si>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</si>
  <si>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</si>
  <si>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</si>
  <si>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</si>
  <si>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</si>
  <si>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</si>
  <si>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</si>
  <si>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</si>
  <si>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</si>
  <si>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</si>
  <si>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</si>
  <si>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</si>
  <si>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</si>
  <si>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</si>
  <si>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</si>
  <si>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</si>
  <si>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</si>
  <si>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</si>
  <si>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</si>
  <si>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</si>
  <si>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</si>
  <si>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</si>
  <si>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</si>
  <si>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</si>
  <si>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</si>
  <si>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</si>
  <si>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</si>
  <si>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</si>
  <si>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</si>
  <si>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</si>
  <si>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</si>
  <si>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</si>
  <si>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</si>
  <si>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</si>
  <si>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</si>
  <si>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</si>
  <si>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</si>
  <si>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</si>
  <si>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</si>
  <si>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</si>
  <si>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</si>
  <si>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</si>
  <si>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</si>
  <si>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</si>
  <si>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</si>
  <si>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</si>
  <si>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</si>
  <si>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</si>
  <si>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</si>
  <si>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</si>
  <si>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</si>
  <si>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</si>
  <si>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</si>
  <si>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</si>
  <si>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</si>
  <si>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</si>
  <si>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</si>
  <si>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</si>
  <si>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</si>
  <si>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</si>
  <si>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</si>
  <si>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</si>
  <si>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</si>
  <si>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</si>
  <si>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</si>
  <si>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</si>
  <si>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</si>
  <si>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</si>
  <si>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</si>
  <si>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</si>
  <si>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</si>
  <si>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</si>
  <si>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</si>
  <si>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</si>
  <si>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</si>
  <si>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</si>
  <si>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</si>
  <si>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</si>
  <si>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</si>
  <si>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</si>
  <si>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</si>
  <si>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</si>
  <si>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</si>
  <si>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</si>
  <si>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</si>
  <si>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</si>
  <si>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</si>
  <si>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</si>
  <si>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</si>
  <si>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</si>
  <si>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</si>
  <si>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</si>
  <si>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</si>
  <si>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</si>
  <si>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</si>
  <si>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</si>
  <si>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</si>
  <si>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</si>
  <si>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</si>
  <si>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</si>
  <si>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</si>
  <si>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</si>
  <si>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</si>
  <si>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</si>
  <si>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</si>
  <si>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</si>
  <si>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</si>
  <si>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</si>
  <si>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</si>
  <si>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</si>
  <si>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</si>
  <si>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</si>
  <si>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</si>
  <si>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</si>
  <si>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</si>
  <si>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</si>
  <si>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</si>
  <si>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</si>
  <si>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</si>
  <si>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</si>
  <si>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</si>
  <si>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</si>
  <si>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</si>
  <si>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</si>
  <si>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</si>
  <si>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</si>
  <si>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</si>
  <si>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</si>
  <si>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</si>
  <si>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</si>
  <si>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</si>
  <si>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</si>
  <si>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</si>
  <si>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</si>
  <si>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</si>
  <si>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</si>
  <si>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</si>
  <si>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</si>
  <si>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</si>
  <si>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</si>
  <si>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</si>
  <si>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</si>
  <si>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</si>
  <si>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</si>
  <si>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</si>
  <si>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</si>
  <si>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</si>
  <si>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</si>
  <si>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</si>
  <si>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</si>
  <si>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</si>
  <si>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</si>
  <si>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</si>
  <si>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</si>
  <si>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</si>
  <si>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</si>
  <si>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</si>
  <si>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</si>
  <si>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</si>
  <si>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</si>
  <si>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</si>
  <si>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</si>
  <si>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</si>
  <si>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</si>
  <si>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</si>
  <si>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</si>
  <si>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</si>
  <si>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</si>
  <si>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</si>
  <si>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</si>
  <si>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</si>
  <si>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</si>
  <si>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</si>
  <si>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</si>
  <si>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</si>
  <si>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</si>
  <si>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</si>
  <si>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</si>
  <si>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</si>
  <si>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</si>
  <si>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</si>
  <si>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</si>
  <si>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</si>
  <si>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</si>
  <si>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</si>
  <si>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</si>
  <si>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</si>
  <si>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</si>
  <si>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</si>
  <si>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</si>
  <si>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</si>
  <si>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</si>
  <si>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</si>
  <si>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</si>
  <si>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</si>
  <si>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</si>
  <si>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</si>
  <si>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</si>
  <si>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</si>
  <si>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</si>
  <si>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</si>
  <si>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</si>
  <si>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</si>
  <si>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</si>
  <si>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</si>
  <si>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</si>
  <si>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</si>
  <si>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</si>
  <si>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</si>
  <si>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</si>
  <si>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</si>
  <si>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</si>
  <si>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</si>
  <si>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</si>
  <si>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</si>
  <si>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</si>
  <si>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</si>
  <si>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</si>
  <si>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</si>
  <si>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</si>
  <si>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</si>
  <si>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</si>
  <si>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</si>
  <si>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</si>
  <si>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</si>
  <si>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</si>
  <si>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</si>
  <si>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</si>
  <si>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</si>
  <si>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</si>
  <si>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</si>
  <si>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</si>
  <si>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</si>
  <si>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</si>
  <si>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</si>
  <si>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</si>
  <si>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</si>
  <si>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</si>
  <si>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</si>
  <si>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</si>
  <si>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</si>
  <si>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</si>
  <si>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</si>
  <si>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</si>
  <si>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</si>
  <si>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</si>
  <si>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</si>
  <si>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</si>
  <si>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</si>
  <si>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</si>
  <si>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</si>
  <si>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</si>
  <si>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</si>
  <si>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</si>
  <si>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</si>
  <si>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</si>
  <si>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</si>
  <si>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</si>
  <si>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</si>
  <si>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</si>
  <si>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</si>
  <si>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</si>
  <si>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</si>
  <si>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</si>
  <si>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</si>
  <si>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</si>
  <si>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</si>
  <si>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</si>
  <si>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</si>
  <si>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</si>
  <si>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</si>
  <si>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</si>
  <si>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</si>
  <si>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</si>
  <si>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</si>
  <si>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</si>
  <si>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</si>
  <si>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</si>
  <si>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</si>
  <si>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</si>
  <si>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</si>
  <si>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</si>
  <si>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</si>
  <si>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</si>
  <si>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</si>
  <si>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</si>
  <si>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</si>
  <si>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</si>
  <si>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</si>
  <si>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</si>
  <si>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</si>
  <si>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</si>
  <si>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</si>
  <si>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</si>
  <si>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</si>
  <si>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</si>
  <si>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</si>
  <si>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</si>
  <si>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</si>
  <si>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</si>
  <si>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</si>
  <si>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</si>
  <si>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</si>
  <si>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</si>
  <si>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</si>
  <si>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</si>
  <si>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</si>
  <si>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</si>
  <si>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</si>
  <si>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</si>
  <si>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</si>
  <si>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</si>
  <si>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</si>
  <si>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</si>
  <si>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</si>
  <si>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</si>
  <si>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</si>
  <si>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</si>
  <si>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</si>
  <si>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</si>
  <si>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</si>
  <si>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</si>
  <si>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</si>
  <si>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</si>
  <si>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</si>
  <si>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</si>
  <si>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</si>
  <si>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</si>
  <si>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</si>
  <si>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</si>
  <si>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</si>
  <si>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</si>
  <si>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</si>
  <si>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</si>
  <si>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</si>
  <si>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</si>
  <si>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</si>
  <si>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</si>
  <si>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</si>
  <si>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</si>
  <si>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</si>
  <si>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</si>
  <si>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</si>
  <si>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</si>
  <si>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</si>
  <si>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</si>
  <si>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</si>
  <si>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</si>
  <si>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</si>
  <si>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</si>
  <si>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</si>
  <si>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</si>
  <si>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</si>
  <si>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</si>
  <si>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</si>
  <si>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</si>
  <si>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</si>
  <si>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</si>
  <si>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</si>
  <si>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</si>
  <si>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</si>
  <si>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</si>
  <si>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</si>
  <si>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</si>
  <si>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</si>
  <si>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</si>
  <si>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</si>
  <si>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</si>
  <si>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</si>
  <si>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</si>
  <si>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</si>
  <si>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</si>
  <si>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</si>
  <si>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</si>
  <si>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</si>
  <si>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</si>
  <si>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</si>
  <si>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</si>
  <si>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</si>
  <si>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</si>
  <si>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</si>
  <si>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</si>
  <si>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</si>
  <si>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</si>
  <si>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</si>
  <si>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</si>
  <si>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</si>
  <si>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</si>
  <si>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</si>
  <si>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</si>
  <si>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</si>
  <si>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</si>
  <si>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</si>
  <si>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</si>
  <si>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</si>
  <si>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</si>
  <si>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</si>
  <si>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</si>
  <si>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</si>
  <si>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</si>
  <si>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</si>
  <si>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</si>
  <si>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</si>
  <si>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</si>
  <si>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</si>
  <si>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</si>
  <si>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</si>
  <si>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</si>
  <si>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</si>
  <si>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</si>
  <si>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</si>
  <si>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</si>
  <si>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</si>
  <si>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</si>
  <si>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</si>
  <si>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</si>
  <si>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</si>
  <si>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</si>
  <si>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</si>
  <si>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</si>
  <si>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</si>
  <si>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</si>
  <si>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</si>
  <si>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</si>
  <si>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</si>
  <si>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</si>
  <si>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</si>
  <si>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</si>
  <si>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</si>
  <si>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</si>
  <si>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</si>
  <si>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</si>
  <si>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</si>
  <si>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</si>
  <si>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</si>
  <si>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</si>
  <si>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</si>
  <si>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</si>
  <si>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</si>
  <si>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</si>
  <si>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</si>
  <si>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</si>
  <si>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</si>
  <si>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</si>
  <si>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</si>
  <si>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</si>
  <si>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</si>
  <si>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</si>
  <si>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</si>
  <si>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</si>
  <si>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</si>
  <si>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</si>
  <si>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</si>
  <si>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</si>
  <si>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</si>
  <si>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</si>
  <si>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</si>
  <si>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</si>
  <si>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</si>
  <si>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</si>
  <si>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</si>
  <si>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</si>
  <si>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</si>
  <si>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</si>
  <si>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</si>
  <si>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</si>
  <si>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</si>
  <si>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</si>
  <si>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</si>
  <si>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</si>
  <si>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</si>
  <si>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</si>
  <si>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</si>
  <si>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</si>
  <si>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</si>
  <si>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</si>
  <si>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</si>
  <si>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</si>
  <si>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</si>
  <si>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</si>
  <si>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</si>
  <si>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</si>
  <si>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</si>
  <si>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</si>
  <si>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</si>
  <si>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</si>
  <si>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</si>
  <si>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</si>
  <si>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</si>
  <si>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</si>
  <si>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</si>
  <si>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</si>
  <si>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</si>
  <si>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</si>
  <si>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</si>
  <si>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</si>
  <si>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</si>
  <si>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</si>
  <si>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</si>
  <si>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</si>
  <si>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</si>
  <si>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</si>
  <si>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</si>
  <si>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</si>
  <si>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</si>
  <si>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</si>
  <si>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</si>
  <si>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</si>
  <si>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</si>
  <si>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</si>
  <si>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</si>
  <si>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</si>
  <si>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</si>
  <si>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</si>
  <si>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</si>
  <si>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</si>
  <si>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</si>
  <si>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</si>
  <si>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</si>
  <si>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</si>
  <si>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</si>
  <si>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</si>
  <si>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</si>
  <si>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</si>
  <si>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</si>
  <si>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</si>
  <si>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</si>
  <si>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</si>
  <si>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</si>
  <si>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</si>
  <si>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</si>
  <si>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</si>
  <si>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</si>
  <si>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</si>
  <si>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</si>
  <si>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</si>
  <si>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</si>
  <si>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</si>
  <si>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</si>
  <si>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</si>
  <si>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</si>
  <si>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</si>
  <si>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</si>
  <si>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</si>
  <si>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</si>
  <si>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</si>
  <si>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</si>
  <si>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</si>
  <si>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</si>
  <si>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</si>
  <si>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</si>
  <si>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</si>
  <si>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</si>
  <si>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</si>
  <si>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</si>
  <si>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</si>
  <si>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</si>
  <si>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</si>
  <si>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</si>
  <si>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</si>
  <si>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</si>
  <si>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</si>
  <si>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</si>
  <si>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</si>
  <si>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</si>
  <si>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</si>
  <si>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</si>
  <si>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</si>
  <si>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</si>
  <si>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</si>
  <si>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</si>
  <si>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</si>
  <si>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</si>
  <si>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</si>
  <si>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</si>
  <si>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</si>
  <si>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</si>
  <si>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</si>
  <si>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</si>
  <si>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</si>
  <si>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</si>
  <si>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</si>
  <si>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</si>
  <si>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</si>
  <si>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</si>
  <si>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</si>
  <si>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</si>
  <si>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</si>
  <si>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</si>
  <si>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</si>
  <si>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</si>
  <si>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</si>
  <si>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</si>
  <si>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</si>
  <si>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</si>
  <si>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</si>
  <si>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</si>
  <si>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</si>
  <si>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</si>
  <si>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</si>
  <si>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</si>
  <si>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</si>
  <si>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</si>
  <si>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</si>
  <si>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</si>
  <si>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</si>
  <si>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</si>
  <si>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</si>
  <si>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</si>
  <si>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</si>
  <si>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</si>
  <si>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</si>
  <si>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</si>
  <si>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</si>
  <si>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</si>
  <si>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</si>
  <si>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</si>
  <si>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</si>
  <si>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</si>
  <si>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</si>
  <si>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</si>
  <si>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</si>
  <si>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</si>
  <si>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</si>
  <si>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</si>
  <si>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</si>
  <si>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</si>
  <si>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</si>
  <si>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</si>
  <si>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</si>
  <si>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</si>
  <si>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</si>
  <si>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</si>
  <si>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</si>
  <si>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</si>
  <si>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</si>
  <si>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</si>
  <si>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</si>
  <si>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</si>
  <si>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</si>
  <si>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</si>
  <si>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</si>
  <si>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</si>
  <si>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</si>
  <si>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</si>
  <si>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</si>
  <si>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</si>
  <si>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</si>
  <si>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</si>
  <si>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</si>
  <si>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</si>
  <si>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</si>
  <si>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</si>
  <si>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</si>
  <si>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</si>
  <si>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</si>
  <si>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</si>
  <si>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</si>
  <si>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</si>
  <si>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</si>
  <si>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</si>
  <si>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</si>
  <si>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</si>
  <si>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</si>
  <si>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</si>
  <si>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</si>
  <si>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</si>
  <si>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</si>
  <si>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</si>
  <si>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</si>
  <si>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</si>
  <si>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</si>
  <si>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</si>
  <si>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</si>
  <si>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</si>
  <si>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</si>
  <si>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</si>
  <si>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</si>
  <si>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</si>
  <si>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</si>
  <si>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</si>
  <si>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</si>
  <si>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</si>
  <si>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</si>
  <si>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</si>
  <si>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</si>
  <si>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</si>
  <si>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</si>
  <si>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</si>
  <si>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</si>
  <si>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</si>
  <si>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</si>
  <si>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</si>
  <si>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</si>
  <si>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</si>
  <si>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</si>
  <si>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</si>
  <si>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</si>
  <si>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</si>
  <si>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</si>
  <si>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</si>
  <si>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</si>
  <si>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</si>
  <si>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</si>
  <si>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</si>
  <si>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</si>
  <si>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</si>
  <si>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</si>
  <si>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</si>
  <si>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</si>
  <si>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</si>
  <si>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</si>
  <si>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</si>
  <si>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</si>
  <si>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</si>
  <si>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</si>
  <si>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</si>
  <si>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</si>
  <si>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</si>
  <si>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</si>
  <si>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</si>
  <si>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</si>
  <si>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</si>
  <si>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</si>
  <si>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</si>
  <si>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</si>
  <si>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</si>
  <si>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</si>
  <si>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</si>
  <si>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</si>
  <si>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</si>
  <si>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</si>
  <si>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</si>
  <si>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</si>
  <si>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</si>
  <si>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</si>
  <si>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</si>
  <si>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</si>
  <si>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</si>
  <si>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</si>
  <si>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</si>
  <si>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</si>
  <si>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</si>
  <si>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</si>
  <si>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</si>
  <si>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</si>
  <si>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</si>
  <si>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</si>
  <si>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</si>
  <si>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</si>
  <si>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</si>
  <si>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</si>
  <si>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</si>
  <si>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</si>
  <si>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</si>
  <si>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</si>
  <si>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</si>
  <si>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</si>
  <si>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</si>
  <si>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</si>
  <si>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</si>
  <si>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</si>
  <si>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</si>
  <si>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</si>
  <si>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</si>
  <si>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</si>
  <si>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</si>
  <si>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</si>
  <si>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</si>
  <si>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</si>
  <si>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</si>
  <si>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</si>
  <si>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</si>
  <si>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</si>
  <si>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</si>
  <si>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</si>
  <si>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</si>
  <si>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</si>
  <si>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</si>
  <si>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</si>
  <si>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</si>
  <si>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</si>
  <si>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</si>
  <si>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</si>
  <si>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</si>
  <si>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</si>
  <si>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</si>
  <si>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</si>
  <si>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</si>
  <si>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</si>
  <si>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</si>
  <si>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</si>
  <si>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</si>
  <si>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</si>
  <si>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</si>
  <si>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</si>
  <si>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</si>
  <si>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</si>
  <si>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</si>
  <si>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</si>
  <si>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</si>
  <si>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</si>
  <si>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</si>
  <si>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</si>
  <si>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</si>
  <si>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</si>
  <si>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</si>
  <si>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</si>
  <si>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</si>
  <si>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</si>
  <si>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</si>
  <si>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</si>
  <si>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</si>
  <si>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</si>
  <si>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</si>
  <si>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</si>
  <si>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</si>
  <si>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</si>
  <si>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</si>
  <si>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</si>
  <si>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</si>
  <si>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</si>
  <si>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</si>
  <si>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</si>
  <si>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</si>
  <si>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</si>
  <si>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</si>
  <si>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</si>
  <si>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</si>
  <si>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</si>
  <si>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</si>
  <si>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</si>
  <si>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</si>
  <si>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</si>
  <si>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</si>
  <si>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</si>
  <si>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</si>
  <si>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</si>
  <si>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</si>
  <si>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</si>
  <si>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</si>
  <si>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</si>
  <si>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</si>
  <si>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</si>
  <si>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</si>
  <si>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</si>
  <si>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</si>
  <si>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</si>
  <si>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</si>
  <si>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</si>
  <si>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</si>
  <si>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</si>
  <si>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</si>
  <si>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</si>
  <si>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</si>
  <si>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</si>
  <si>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</si>
  <si>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</si>
  <si>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</si>
  <si>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</si>
  <si>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</si>
  <si>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</si>
  <si>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</si>
  <si>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</si>
  <si>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</si>
  <si>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</si>
  <si>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</si>
  <si>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</si>
  <si>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</si>
  <si>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</si>
  <si>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</si>
  <si>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</si>
  <si>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</si>
  <si>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</si>
  <si>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</si>
  <si>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</si>
  <si>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</si>
  <si>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</si>
  <si>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</si>
  <si>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</si>
  <si>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</si>
  <si>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</si>
  <si>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</si>
  <si>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</si>
  <si>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</si>
  <si>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</si>
  <si>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</si>
  <si>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</si>
  <si>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</si>
  <si>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</si>
  <si>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</si>
  <si>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</si>
  <si>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</si>
  <si>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</si>
  <si>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</si>
  <si>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</si>
  <si>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</si>
  <si>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</si>
  <si>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</si>
  <si>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</si>
  <si>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</si>
  <si>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</si>
  <si>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</si>
  <si>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</si>
  <si>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</si>
  <si>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</si>
  <si>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</si>
  <si>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</si>
  <si>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</si>
  <si>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</si>
  <si>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</si>
  <si>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</si>
  <si>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</si>
  <si>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</si>
  <si>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</si>
  <si>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</si>
  <si>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</si>
  <si>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</si>
  <si>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</si>
  <si>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</si>
  <si>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</si>
  <si>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</si>
  <si>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</si>
  <si>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</si>
  <si>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</si>
  <si>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</si>
  <si>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</si>
  <si>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</si>
  <si>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</si>
  <si>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</si>
  <si>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</si>
  <si>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</si>
  <si>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</si>
  <si>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</si>
  <si>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</si>
  <si>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</si>
  <si>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</si>
  <si>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</si>
  <si>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</si>
  <si>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</si>
  <si>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</si>
  <si>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</si>
  <si>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</si>
  <si>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</si>
  <si>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</si>
  <si>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</si>
  <si>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</si>
  <si>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</si>
  <si>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</si>
  <si>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</si>
  <si>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</si>
  <si>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</si>
  <si>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</si>
  <si>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</si>
  <si>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</si>
  <si>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</si>
  <si>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</si>
  <si>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</si>
  <si>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</si>
  <si>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</si>
  <si>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</si>
  <si>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</si>
  <si>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</si>
  <si>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</si>
  <si>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</si>
  <si>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</si>
  <si>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</si>
  <si>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</si>
  <si>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</si>
  <si>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</si>
  <si>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</si>
  <si>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</si>
  <si>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</si>
  <si>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</si>
  <si>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</si>
  <si>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</si>
  <si>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</si>
  <si>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</si>
  <si>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</si>
  <si>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</si>
  <si>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</si>
  <si>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</si>
  <si>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</si>
  <si>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</si>
  <si>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</si>
  <si>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</si>
  <si>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</si>
  <si>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</si>
  <si>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</si>
  <si>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</si>
  <si>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</si>
  <si>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</si>
  <si>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</si>
  <si>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</si>
  <si>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</si>
  <si>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</si>
  <si>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</si>
  <si>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</si>
  <si>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</si>
  <si>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</si>
  <si>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</si>
  <si>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</si>
  <si>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</si>
  <si>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</si>
  <si>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</si>
  <si>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</si>
  <si>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</si>
  <si>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</si>
  <si>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</si>
  <si>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</si>
  <si>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</si>
  <si>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</si>
  <si>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</si>
  <si>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</si>
  <si>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</si>
  <si>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</si>
  <si>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</si>
  <si>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</si>
  <si>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</si>
  <si>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</si>
  <si>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</si>
  <si>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</si>
  <si>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</si>
  <si>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</si>
  <si>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</si>
  <si>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</si>
  <si>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</si>
  <si>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</si>
  <si>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</si>
  <si>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</si>
  <si>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</si>
  <si>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</si>
  <si>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</si>
  <si>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</si>
  <si>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</si>
  <si>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</si>
  <si>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</si>
  <si>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</si>
  <si>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</si>
  <si>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</si>
  <si>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</si>
  <si>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</si>
  <si>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</si>
  <si>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</si>
  <si>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</si>
  <si>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</si>
  <si>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</si>
  <si>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</si>
  <si>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</si>
  <si>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</si>
  <si>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</si>
  <si>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</si>
  <si>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</si>
  <si>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</si>
  <si>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</si>
  <si>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</si>
  <si>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</si>
  <si>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</si>
  <si>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</si>
  <si>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</si>
  <si>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</si>
  <si>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</si>
  <si>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</si>
  <si>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</si>
  <si>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</si>
  <si>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</si>
  <si>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</si>
  <si>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</si>
  <si>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</si>
  <si>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</si>
  <si>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</si>
  <si>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</si>
  <si>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</si>
  <si>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</si>
  <si>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</si>
  <si>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</si>
  <si>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</si>
  <si>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</si>
  <si>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</si>
  <si>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</si>
  <si>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</si>
  <si>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</si>
  <si>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</si>
  <si>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</si>
  <si>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</si>
  <si>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</si>
  <si>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</si>
  <si>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</si>
  <si>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</si>
  <si>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</si>
  <si>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</si>
  <si>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</si>
  <si>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</si>
  <si>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</si>
  <si>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</si>
  <si>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</si>
  <si>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</si>
  <si>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</si>
  <si>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</si>
  <si>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</si>
  <si>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</si>
  <si>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</si>
  <si>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</si>
  <si>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</si>
  <si>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</si>
  <si>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</si>
  <si>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</si>
  <si>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</si>
  <si>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</si>
  <si>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</si>
  <si>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</si>
  <si>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</si>
  <si>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</si>
  <si>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</si>
  <si>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</si>
  <si>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</si>
  <si>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</si>
  <si>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</si>
  <si>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</si>
  <si>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</si>
  <si>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</si>
  <si>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</si>
  <si>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</si>
  <si>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</si>
  <si>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</si>
  <si>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</si>
  <si>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</si>
  <si>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</si>
  <si>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</si>
  <si>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</si>
  <si>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</si>
  <si>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</si>
  <si>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</si>
  <si>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</si>
  <si>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</si>
  <si>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</si>
  <si>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</si>
  <si>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</si>
  <si>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</si>
  <si>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</si>
  <si>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</si>
  <si>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</si>
  <si>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</si>
  <si>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</si>
  <si>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</si>
  <si>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</si>
  <si>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</si>
  <si>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</si>
  <si>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</si>
  <si>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</si>
  <si>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</si>
  <si>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</si>
  <si>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</si>
  <si>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</si>
  <si>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</si>
  <si>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</si>
  <si>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</si>
  <si>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</si>
  <si>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</si>
  <si>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</si>
  <si>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</si>
  <si>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</si>
  <si>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</si>
  <si>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</si>
  <si>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</si>
  <si>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</si>
  <si>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</si>
  <si>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</si>
  <si>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</si>
  <si>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</si>
  <si>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</si>
  <si>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</si>
  <si>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</si>
  <si>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</si>
  <si>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</si>
  <si>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</si>
  <si>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</si>
  <si>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</si>
  <si>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</si>
  <si>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</si>
  <si>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</si>
  <si>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</si>
  <si>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</si>
  <si>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</si>
  <si>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</si>
  <si>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</si>
  <si>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</si>
  <si>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</si>
  <si>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</si>
  <si>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</si>
  <si>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</si>
  <si>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</si>
  <si>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</si>
  <si>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</si>
  <si>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</si>
  <si>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</si>
  <si>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</si>
  <si>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</si>
  <si>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</si>
  <si>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</si>
  <si>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</si>
  <si>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</si>
  <si>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</si>
  <si>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</si>
  <si>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</si>
  <si>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</si>
  <si>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</si>
  <si>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</si>
  <si>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</si>
  <si>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</si>
  <si>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</si>
  <si>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</si>
  <si>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</si>
  <si>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</si>
  <si>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</si>
  <si>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</si>
  <si>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</si>
  <si>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</si>
  <si>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</si>
  <si>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</si>
  <si>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</si>
  <si>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</si>
  <si>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</si>
  <si>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</si>
  <si>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</si>
  <si>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</si>
  <si>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</si>
  <si>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</si>
  <si>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</si>
  <si>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</si>
  <si>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</si>
  <si>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</si>
  <si>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</si>
  <si>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</si>
  <si>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</si>
  <si>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</si>
  <si>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</si>
  <si>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</si>
  <si>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</si>
  <si>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</si>
  <si>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</si>
  <si>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</si>
  <si>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</si>
  <si>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</si>
  <si>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</si>
  <si>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</si>
  <si>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</si>
  <si>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</si>
  <si>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</si>
  <si>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</si>
  <si>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</si>
  <si>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</si>
  <si>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</si>
  <si>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</si>
  <si>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</si>
  <si>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</si>
  <si>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</si>
  <si>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</si>
  <si>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</si>
  <si>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</si>
  <si>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</si>
  <si>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</si>
  <si>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</si>
  <si>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</si>
  <si>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</si>
  <si>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</si>
  <si>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</si>
  <si>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</si>
  <si>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</si>
  <si>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</si>
  <si>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</si>
  <si>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</si>
  <si>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</si>
  <si>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</si>
  <si>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</si>
  <si>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</si>
  <si>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</si>
  <si>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</si>
  <si>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</si>
  <si>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</si>
  <si>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</si>
  <si>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</si>
  <si>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</si>
  <si>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</si>
  <si>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</si>
  <si>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</si>
  <si>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</si>
  <si>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</si>
  <si>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</si>
  <si>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</si>
  <si>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</si>
  <si>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</si>
  <si>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</si>
  <si>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</si>
  <si>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</si>
  <si>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</si>
  <si>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</si>
  <si>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</si>
  <si>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</si>
  <si>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</si>
  <si>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</si>
  <si>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</si>
  <si>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</si>
  <si>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</si>
  <si>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</si>
  <si>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</si>
  <si>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</si>
  <si>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</si>
  <si>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</si>
  <si>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</si>
  <si>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</si>
  <si>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</si>
  <si>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</si>
  <si>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</si>
  <si>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</si>
  <si>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</si>
  <si>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</si>
  <si>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</si>
  <si>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</si>
  <si>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</si>
  <si>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</si>
  <si>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</si>
  <si>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</si>
  <si>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</si>
  <si>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</si>
  <si>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</si>
  <si>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</si>
  <si>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</si>
  <si>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</si>
  <si>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</si>
  <si>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</si>
  <si>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</si>
  <si>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</si>
  <si>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</si>
  <si>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</si>
  <si>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</si>
  <si>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</si>
  <si>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</si>
  <si>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</si>
  <si>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</si>
  <si>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</si>
  <si>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</si>
  <si>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</si>
  <si>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</si>
  <si>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</si>
  <si>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</si>
  <si>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</si>
  <si>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</si>
  <si>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</si>
  <si>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</si>
  <si>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</si>
  <si>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</si>
  <si>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</si>
  <si>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</si>
  <si>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</si>
  <si>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</si>
  <si>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</si>
  <si>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</si>
  <si>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</si>
  <si>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</si>
  <si>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</si>
  <si>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</si>
  <si>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</si>
  <si>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</si>
  <si>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</si>
  <si>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</si>
  <si>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</si>
  <si>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</si>
  <si>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</si>
  <si>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</si>
  <si>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</si>
  <si>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</si>
  <si>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</si>
  <si>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</si>
  <si>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</si>
  <si>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</si>
  <si>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</si>
  <si>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</si>
  <si>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</si>
  <si>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</si>
  <si>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</si>
  <si>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</si>
  <si>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</si>
  <si>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</si>
  <si>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</si>
  <si>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</si>
  <si>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</si>
  <si>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</si>
  <si>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</si>
  <si>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</si>
  <si>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</si>
  <si>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</si>
  <si>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</si>
  <si>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</si>
  <si>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</si>
  <si>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</si>
  <si>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</si>
  <si>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</si>
  <si>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</si>
  <si>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</si>
  <si>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</si>
  <si>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</si>
  <si>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</si>
  <si>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</si>
  <si>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</si>
  <si>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</si>
  <si>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</si>
  <si>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</si>
  <si>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</si>
  <si>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</si>
  <si>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</si>
  <si>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</si>
  <si>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</si>
  <si>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</si>
  <si>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</si>
  <si>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</si>
  <si>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</si>
  <si>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</si>
  <si>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</si>
  <si>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</si>
  <si>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</si>
  <si>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</si>
  <si>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</si>
  <si>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</si>
  <si>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</si>
  <si>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</si>
  <si>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</si>
  <si>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</si>
  <si>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</si>
  <si>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</si>
  <si>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</si>
  <si>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</si>
  <si>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</si>
  <si>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</si>
  <si>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</si>
  <si>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</si>
  <si>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</si>
  <si>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</si>
  <si>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</si>
  <si>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</si>
  <si>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</si>
  <si>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</si>
  <si>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</si>
  <si>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</si>
  <si>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</si>
  <si>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</si>
  <si>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</si>
  <si>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</si>
  <si>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</si>
  <si>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</si>
  <si>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</si>
  <si>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</si>
  <si>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</si>
  <si>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</si>
  <si>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</si>
  <si>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</si>
  <si>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</si>
  <si>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</si>
  <si>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</si>
  <si>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</si>
  <si>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</si>
  <si>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</si>
  <si>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</si>
  <si>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</si>
  <si>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</si>
  <si>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</si>
  <si>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</si>
  <si>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</si>
  <si>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</si>
  <si>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</si>
  <si>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</si>
  <si>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</si>
  <si>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</si>
  <si>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</si>
  <si>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</si>
  <si>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</si>
  <si>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</si>
  <si>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</si>
  <si>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</si>
  <si>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</si>
  <si>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</si>
  <si>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</si>
  <si>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</si>
  <si>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</si>
  <si>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</si>
  <si>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</si>
  <si>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</si>
  <si>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</si>
  <si>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</si>
  <si>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</si>
  <si>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</si>
  <si>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</si>
  <si>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</si>
  <si>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</si>
  <si>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</si>
  <si>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</si>
  <si>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</si>
  <si>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</si>
  <si>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</si>
  <si>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</si>
  <si>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</si>
  <si>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</si>
  <si>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</si>
  <si>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</si>
  <si>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</si>
  <si>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</si>
  <si>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</si>
  <si>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</si>
  <si>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</si>
  <si>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</si>
  <si>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</si>
  <si>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</si>
  <si>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</si>
  <si>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</si>
  <si>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</si>
  <si>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</si>
  <si>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</si>
  <si>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</si>
  <si>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</si>
  <si>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</si>
  <si>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</si>
  <si>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</si>
  <si>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</si>
  <si>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</si>
  <si>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</si>
  <si>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</si>
  <si>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</si>
  <si>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</si>
  <si>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</si>
  <si>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</si>
  <si>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</si>
  <si>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</si>
  <si>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</si>
  <si>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</si>
  <si>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</si>
  <si>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</si>
  <si>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</si>
  <si>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</si>
  <si>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</si>
  <si>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</si>
  <si>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</si>
  <si>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</si>
  <si>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</si>
  <si>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</si>
  <si>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</si>
  <si>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</si>
  <si>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</si>
  <si>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</si>
  <si>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</si>
  <si>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</si>
  <si>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</si>
  <si>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</si>
  <si>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</si>
  <si>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</si>
  <si>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</si>
  <si>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</si>
  <si>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</si>
  <si>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</si>
  <si>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</si>
  <si>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</si>
  <si>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</si>
  <si>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</si>
  <si>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</si>
  <si>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</si>
  <si>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</si>
  <si>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</si>
  <si>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</si>
  <si>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</si>
  <si>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</si>
  <si>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</si>
  <si>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</si>
  <si>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</si>
  <si>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</si>
  <si>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</si>
  <si>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</si>
  <si>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</si>
  <si>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</si>
  <si>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</si>
  <si>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</si>
  <si>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</si>
  <si>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</si>
  <si>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</si>
  <si>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</si>
  <si>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</si>
  <si>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</si>
  <si>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</si>
  <si>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</si>
  <si>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</si>
  <si>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</si>
  <si>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</si>
  <si>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</si>
  <si>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</si>
  <si>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</si>
  <si>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</si>
  <si>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</si>
  <si>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</si>
  <si>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</si>
  <si>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</si>
  <si>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</si>
  <si>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</si>
  <si>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</si>
  <si>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</si>
  <si>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</si>
  <si>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</si>
  <si>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</si>
  <si>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</si>
  <si>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</si>
  <si>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</si>
  <si>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</si>
  <si>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</si>
  <si>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</si>
  <si>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</si>
  <si>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</si>
  <si>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</si>
  <si>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</si>
  <si>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</si>
  <si>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</si>
  <si>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</si>
  <si>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</si>
  <si>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</si>
  <si>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</si>
  <si>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</si>
  <si>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</si>
  <si>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</si>
  <si>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</si>
  <si>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</si>
  <si>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</si>
  <si>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</si>
  <si>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</si>
  <si>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</si>
  <si>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</si>
  <si>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</si>
  <si>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</si>
  <si>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</si>
  <si>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</si>
  <si>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</si>
  <si>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</si>
  <si>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</si>
  <si>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</si>
  <si>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</si>
  <si>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</si>
  <si>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</si>
  <si>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</si>
  <si>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</si>
  <si>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</si>
  <si>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</si>
  <si>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</si>
  <si>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</si>
  <si>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</si>
  <si>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</si>
  <si>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</si>
  <si>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</si>
  <si>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</si>
  <si>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</si>
  <si>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</si>
  <si>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</si>
  <si>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</si>
  <si>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</si>
  <si>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</si>
  <si>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</si>
  <si>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</si>
  <si>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</si>
  <si>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</si>
  <si>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</si>
  <si>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</si>
  <si>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</si>
  <si>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</si>
  <si>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</si>
  <si>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</si>
  <si>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</si>
  <si>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</si>
  <si>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</si>
  <si>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</si>
  <si>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</si>
  <si>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</si>
  <si>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</si>
  <si>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</si>
  <si>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</si>
  <si>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</si>
  <si>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</si>
  <si>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</si>
  <si>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</si>
  <si>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</si>
  <si>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</si>
  <si>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</si>
  <si>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</si>
  <si>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</si>
  <si>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</si>
  <si>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</si>
  <si>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</si>
  <si>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</si>
  <si>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</si>
  <si>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</si>
  <si>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</si>
  <si>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</si>
  <si>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</si>
  <si>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</si>
  <si>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</si>
  <si>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</si>
  <si>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</si>
  <si>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</si>
  <si>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</si>
  <si>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</si>
  <si>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</si>
  <si>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</si>
  <si>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</si>
  <si>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</si>
  <si>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</si>
  <si>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</si>
  <si>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</si>
  <si>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</si>
  <si>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</si>
  <si>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</si>
  <si>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</si>
  <si>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</si>
  <si>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</si>
  <si>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</si>
  <si>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</si>
  <si>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</si>
  <si>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</si>
  <si>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</si>
  <si>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</si>
  <si>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</si>
  <si>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</si>
  <si>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</si>
  <si>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</si>
  <si>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</si>
  <si>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</si>
  <si>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</si>
  <si>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</si>
  <si>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</si>
  <si>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</si>
  <si>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</si>
  <si>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</si>
  <si>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</si>
  <si>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</si>
  <si>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</si>
  <si>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</si>
  <si>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</si>
  <si>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</si>
  <si>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</si>
  <si>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</si>
  <si>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</si>
  <si>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</si>
  <si>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</si>
  <si>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</si>
  <si>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</si>
  <si>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</si>
  <si>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</si>
  <si>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</si>
  <si>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</si>
  <si>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</si>
  <si>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</si>
  <si>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</si>
  <si>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</si>
  <si>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</si>
  <si>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</si>
  <si>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</si>
  <si>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</si>
  <si>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</si>
  <si>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</si>
  <si>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</si>
  <si>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</si>
  <si>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</si>
  <si>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</si>
  <si>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</si>
  <si>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</si>
  <si>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</si>
  <si>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</si>
  <si>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</si>
  <si>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</si>
  <si>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</si>
  <si>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</si>
  <si>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</si>
  <si>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</si>
  <si>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</si>
  <si>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</si>
  <si>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</si>
  <si>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</si>
  <si>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</si>
  <si>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</si>
  <si>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</si>
  <si>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</si>
  <si>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</si>
  <si>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</si>
  <si>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</si>
  <si>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</si>
  <si>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</si>
  <si>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</si>
  <si>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</si>
  <si>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</si>
  <si>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</si>
  <si>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</si>
  <si>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</si>
  <si>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</si>
  <si>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</si>
  <si>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</si>
  <si>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</si>
  <si>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</si>
  <si>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</si>
  <si>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</si>
  <si>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</si>
  <si>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</si>
  <si>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</si>
  <si>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</si>
  <si>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</si>
  <si>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</si>
  <si>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</si>
  <si>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</si>
  <si>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</si>
  <si>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</si>
  <si>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</si>
  <si>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</si>
  <si>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</si>
  <si>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</si>
  <si>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</si>
  <si>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</si>
  <si>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</si>
  <si>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</si>
  <si>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</si>
  <si>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</si>
  <si>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</si>
  <si>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</si>
  <si>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</si>
  <si>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</si>
  <si>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</si>
  <si>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</si>
  <si>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</si>
  <si>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</si>
  <si>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</si>
  <si>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</si>
  <si>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</si>
  <si>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</si>
  <si>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</si>
  <si>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</si>
  <si>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</si>
  <si>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</si>
  <si>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</si>
  <si>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</si>
  <si>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</si>
  <si>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</si>
  <si>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</si>
  <si>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</si>
  <si>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</si>
  <si>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</si>
  <si>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</si>
  <si>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</si>
  <si>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</si>
  <si>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</si>
  <si>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</si>
  <si>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</si>
  <si>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</si>
  <si>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</si>
  <si>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</si>
  <si>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</si>
  <si>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</si>
  <si>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</si>
  <si>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</si>
  <si>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</si>
  <si>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</si>
  <si>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</si>
  <si>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</si>
  <si>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</si>
  <si>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</si>
  <si>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</si>
  <si>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</si>
  <si>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</si>
  <si>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</si>
  <si>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</si>
  <si>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</si>
  <si>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</si>
  <si>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</si>
  <si>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</si>
  <si>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</si>
  <si>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</si>
  <si>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</si>
  <si>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</si>
  <si>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</si>
  <si>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</si>
  <si>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</si>
  <si>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</si>
  <si>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</si>
  <si>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</si>
  <si>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</si>
  <si>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</si>
  <si>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</si>
  <si>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</si>
  <si>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</si>
  <si>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</si>
  <si>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</si>
  <si>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</si>
  <si>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</si>
  <si>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</si>
  <si>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</si>
  <si>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</si>
  <si>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</si>
  <si>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</si>
  <si>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</si>
  <si>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</si>
  <si>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</si>
  <si>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</si>
  <si>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</si>
  <si>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</si>
  <si>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</si>
  <si>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</si>
  <si>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</si>
  <si>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</si>
  <si>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</si>
  <si>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</si>
  <si>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</si>
  <si>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</si>
  <si>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</si>
  <si>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</si>
  <si>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</si>
  <si>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</si>
  <si>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</si>
  <si>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</si>
  <si>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</si>
  <si>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</si>
  <si>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</si>
  <si>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</si>
  <si>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</si>
  <si>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</si>
  <si>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</si>
  <si>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</si>
  <si>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</si>
  <si>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</si>
  <si>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</si>
  <si>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</si>
  <si>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</si>
  <si>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</si>
  <si>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</si>
  <si>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</si>
  <si>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</si>
  <si>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</si>
  <si>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</si>
  <si>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</si>
  <si>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</si>
  <si>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</si>
  <si>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</si>
  <si>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</si>
  <si>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</si>
  <si>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</si>
  <si>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</si>
  <si>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</si>
  <si>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</si>
  <si>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</si>
  <si>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</si>
  <si>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</si>
  <si>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</si>
  <si>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</si>
  <si>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</si>
  <si>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</si>
  <si>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</si>
  <si>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</si>
  <si>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</si>
  <si>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</si>
  <si>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</si>
  <si>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</si>
  <si>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</si>
  <si>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</si>
  <si>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</si>
  <si>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</si>
  <si>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</si>
  <si>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</si>
  <si>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</si>
  <si>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</si>
  <si>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</si>
  <si>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</si>
  <si>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</si>
  <si>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</si>
  <si>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</si>
  <si>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</si>
  <si>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</si>
  <si>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</si>
  <si>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</si>
  <si>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</si>
  <si>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</si>
  <si>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</si>
  <si>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</si>
  <si>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</si>
  <si>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</si>
  <si>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</si>
  <si>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</si>
  <si>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</si>
  <si>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</si>
  <si>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</si>
  <si>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</si>
  <si>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</si>
  <si>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</si>
  <si>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</si>
  <si>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</si>
  <si>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</si>
  <si>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</si>
  <si>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</si>
  <si>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</si>
  <si>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</si>
  <si>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</si>
  <si>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</si>
  <si>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</si>
  <si>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</si>
  <si>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</si>
  <si>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</si>
  <si>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</si>
  <si>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</si>
  <si>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</si>
  <si>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</si>
  <si>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</si>
  <si>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</si>
  <si>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</si>
  <si>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</si>
  <si>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</si>
  <si>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</si>
  <si>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</si>
  <si>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</si>
  <si>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</si>
  <si>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</si>
  <si>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</si>
  <si>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</si>
  <si>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</si>
  <si>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</si>
  <si>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</si>
  <si>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</si>
  <si>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</si>
  <si>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</si>
  <si>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</si>
  <si>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</si>
  <si>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</si>
  <si>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</si>
  <si>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</si>
  <si>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</si>
  <si>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</si>
  <si>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</si>
  <si>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</si>
  <si>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</si>
  <si>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</si>
  <si>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</si>
  <si>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</si>
  <si>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</si>
  <si>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</si>
  <si>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</si>
  <si>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</si>
  <si>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</si>
  <si>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</si>
  <si>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</si>
  <si>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</si>
  <si>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</si>
  <si>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</si>
  <si>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</si>
  <si>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</si>
  <si>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</si>
  <si>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</si>
  <si>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</si>
  <si>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</si>
  <si>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</si>
  <si>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</si>
  <si>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</si>
  <si>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</si>
  <si>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</si>
  <si>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</si>
  <si>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</si>
  <si>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</si>
  <si>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</si>
  <si>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</si>
  <si>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</si>
  <si>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</si>
  <si>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</si>
  <si>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</si>
  <si>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</si>
  <si>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</si>
  <si>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</si>
  <si>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</si>
  <si>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</si>
  <si>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</si>
  <si>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</si>
  <si>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</si>
  <si>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</si>
  <si>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</si>
  <si>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</si>
  <si>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</si>
  <si>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</si>
  <si>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</si>
  <si>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</si>
  <si>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</si>
  <si>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</si>
  <si>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</si>
  <si>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</si>
  <si>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</si>
  <si>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</si>
  <si>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</si>
  <si>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</si>
  <si>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</si>
  <si>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</si>
  <si>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</si>
  <si>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</si>
  <si>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</si>
  <si>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</si>
  <si>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</si>
  <si>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</si>
  <si>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</si>
  <si>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</si>
  <si>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</si>
  <si>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</si>
  <si>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</si>
  <si>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</si>
  <si>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</si>
  <si>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</si>
  <si>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</si>
  <si>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</si>
  <si>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</si>
  <si>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</si>
  <si>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</si>
  <si>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</si>
  <si>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</si>
  <si>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</si>
  <si>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</si>
  <si>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</si>
  <si>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</si>
  <si>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</si>
  <si>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</si>
  <si>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</si>
  <si>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</si>
  <si>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</si>
  <si>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</si>
  <si>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</si>
  <si>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</si>
  <si>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</si>
  <si>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</si>
  <si>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</si>
  <si>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</si>
  <si>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</si>
  <si>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</si>
  <si>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</si>
  <si>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</si>
  <si>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</si>
  <si>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</si>
  <si>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</si>
  <si>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</si>
  <si>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</si>
  <si>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</si>
  <si>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</si>
  <si>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</si>
  <si>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</si>
  <si>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</si>
  <si>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</si>
  <si>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</si>
  <si>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</si>
  <si>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</si>
  <si>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</si>
  <si>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</si>
  <si>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</si>
  <si>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</si>
  <si>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</si>
  <si>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</si>
  <si>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</si>
  <si>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</si>
  <si>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</si>
  <si>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</si>
  <si>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</si>
  <si>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</si>
  <si>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</si>
  <si>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</si>
  <si>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</si>
  <si>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</si>
  <si>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</si>
  <si>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</si>
  <si>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</si>
  <si>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</si>
  <si>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</si>
  <si>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</si>
  <si>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</si>
  <si>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</si>
  <si>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</si>
  <si>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</si>
  <si>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</si>
  <si>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</si>
  <si>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</si>
  <si>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</si>
  <si>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</si>
  <si>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</si>
  <si>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</si>
  <si>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</si>
  <si>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</si>
  <si>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</si>
  <si>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</si>
  <si>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</si>
  <si>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</si>
  <si>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</si>
  <si>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</si>
  <si>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</si>
  <si>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</si>
  <si>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</si>
  <si>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</si>
  <si>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</si>
  <si>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</si>
  <si>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</si>
  <si>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</si>
  <si>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</si>
  <si>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</si>
  <si>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</si>
  <si>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</si>
  <si>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</si>
  <si>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</si>
  <si>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</si>
  <si>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</si>
  <si>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</si>
  <si>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</si>
  <si>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</si>
  <si>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</si>
  <si>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</si>
  <si>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</si>
  <si>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</si>
  <si>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</si>
  <si>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</si>
  <si>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</si>
  <si>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</si>
  <si>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</si>
  <si>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</si>
  <si>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</si>
  <si>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</si>
  <si>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</si>
  <si>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</si>
  <si>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</si>
  <si>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</si>
  <si>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</si>
  <si>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</si>
  <si>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</si>
  <si>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</si>
  <si>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</si>
  <si>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</si>
  <si>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</si>
  <si>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</si>
  <si>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</si>
  <si>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</si>
  <si>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</si>
  <si>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</si>
  <si>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</si>
  <si>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</si>
  <si>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</si>
  <si>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</si>
  <si>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</si>
  <si>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</si>
  <si>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</si>
  <si>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</si>
  <si>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</si>
  <si>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</si>
  <si>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</si>
  <si>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</si>
  <si>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</si>
  <si>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</si>
  <si>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</si>
  <si>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</si>
  <si>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</si>
  <si>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</si>
  <si>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</si>
  <si>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</si>
  <si>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</si>
  <si>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</si>
  <si>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</si>
  <si>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</si>
  <si>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</si>
  <si>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</si>
  <si>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</si>
  <si>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</si>
  <si>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</si>
  <si>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</si>
  <si>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</si>
  <si>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</si>
  <si>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</si>
  <si>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</si>
  <si>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</si>
  <si>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</si>
  <si>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</si>
  <si>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</si>
  <si>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</si>
  <si>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</si>
  <si>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</si>
  <si>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</si>
  <si>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</si>
  <si>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</si>
  <si>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</si>
  <si>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</si>
  <si>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</si>
  <si>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</si>
  <si>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</si>
  <si>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</si>
  <si>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</si>
  <si>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</si>
  <si>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</si>
  <si>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</si>
  <si>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</si>
  <si>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</si>
  <si>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</si>
  <si>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</si>
  <si>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</si>
  <si>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</si>
  <si>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</si>
  <si>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</si>
  <si>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</si>
  <si>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</si>
  <si>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</si>
  <si>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</si>
  <si>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</si>
  <si>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</si>
  <si>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</si>
  <si>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</si>
  <si>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</si>
  <si>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</si>
  <si>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</si>
  <si>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</si>
  <si>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</si>
  <si>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</si>
  <si>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</si>
  <si>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</si>
  <si>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</si>
  <si>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</si>
  <si>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</si>
  <si>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</si>
  <si>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</si>
  <si>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</si>
  <si>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</si>
  <si>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</si>
  <si>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</si>
  <si>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</si>
  <si>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</si>
  <si>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</si>
  <si>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</si>
  <si>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</si>
  <si>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</si>
  <si>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</si>
  <si>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</si>
  <si>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</si>
  <si>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</si>
  <si>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</si>
  <si>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</si>
  <si>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</si>
  <si>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</si>
  <si>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</si>
  <si>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</si>
  <si>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</si>
  <si>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</si>
  <si>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</si>
  <si>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</si>
  <si>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</si>
  <si>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</si>
  <si>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</si>
  <si>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</si>
  <si>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</si>
  <si>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</si>
  <si>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</si>
  <si>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</si>
  <si>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</si>
  <si>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</si>
  <si>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</si>
  <si>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</si>
  <si>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</si>
  <si>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</si>
  <si>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</si>
  <si>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</si>
  <si>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</si>
  <si>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</si>
  <si>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</si>
  <si>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</si>
  <si>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</si>
  <si>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</si>
  <si>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</si>
  <si>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</si>
  <si>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</si>
  <si>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</si>
  <si>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</si>
  <si>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</si>
  <si>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</si>
  <si>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</si>
  <si>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</si>
  <si>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</si>
  <si>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</si>
  <si>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</si>
  <si>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</si>
  <si>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</si>
  <si>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</si>
  <si>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</si>
  <si>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</si>
  <si>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</si>
  <si>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</si>
  <si>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</si>
  <si>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</si>
  <si>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</si>
  <si>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</si>
  <si>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</si>
  <si>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</si>
  <si>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</si>
  <si>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</si>
  <si>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</si>
  <si>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</si>
  <si>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</si>
  <si>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</si>
  <si>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</si>
  <si>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</si>
  <si>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</si>
  <si>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</si>
  <si>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</si>
  <si>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</si>
  <si>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</si>
  <si>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</si>
  <si>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</si>
  <si>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</si>
  <si>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</si>
  <si>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</si>
  <si>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</si>
  <si>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</si>
  <si>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</si>
  <si>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</si>
  <si>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</si>
  <si>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</si>
  <si>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</si>
  <si>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</si>
  <si>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</si>
  <si>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</si>
  <si>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</si>
  <si>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</si>
  <si>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</si>
  <si>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</si>
  <si>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</si>
  <si>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</si>
  <si>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</si>
  <si>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</si>
  <si>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</si>
  <si>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</si>
  <si>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</si>
  <si>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</si>
  <si>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</si>
  <si>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</si>
  <si>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</si>
  <si>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</si>
  <si>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</si>
  <si>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</si>
  <si>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</si>
  <si>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</si>
  <si>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</si>
  <si>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</si>
  <si>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</si>
  <si>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</si>
  <si>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</si>
  <si>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</si>
  <si>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</si>
  <si>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</si>
  <si>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</si>
  <si>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</si>
  <si>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</si>
  <si>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</si>
  <si>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</si>
  <si>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</si>
  <si>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</si>
  <si>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</si>
  <si>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</si>
  <si>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</si>
  <si>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</si>
  <si>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</si>
  <si>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</si>
  <si>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</si>
  <si>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</si>
  <si>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</si>
  <si>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</si>
  <si>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</si>
  <si>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</si>
  <si>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</si>
  <si>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</si>
  <si>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</si>
  <si>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</si>
  <si>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</si>
  <si>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</si>
  <si>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</si>
  <si>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</si>
  <si>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</si>
  <si>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</si>
  <si>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</si>
  <si>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</si>
  <si>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</si>
  <si>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</si>
  <si>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</si>
  <si>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</si>
  <si>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</si>
  <si>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</si>
  <si>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</si>
  <si>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</si>
  <si>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</si>
  <si>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</si>
  <si>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</si>
  <si>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</si>
  <si>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</si>
  <si>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</si>
  <si>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</si>
  <si>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</si>
  <si>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</si>
  <si>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</si>
  <si>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</si>
  <si>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</si>
  <si>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</si>
  <si>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</si>
  <si>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</si>
  <si>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</si>
  <si>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</si>
  <si>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</si>
  <si>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</si>
  <si>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</si>
  <si>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</si>
  <si>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</si>
  <si>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</si>
  <si>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</si>
  <si>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</si>
  <si>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</si>
  <si>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</si>
  <si>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</si>
  <si>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</si>
  <si>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</si>
  <si>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</si>
  <si>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</si>
  <si>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</si>
  <si>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</si>
  <si>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</si>
  <si>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</si>
  <si>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</si>
  <si>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</si>
  <si>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</si>
  <si>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</si>
  <si>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</si>
  <si>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</si>
  <si>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</si>
  <si>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</si>
  <si>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</si>
  <si>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</si>
  <si>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</si>
  <si>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</si>
  <si>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</si>
  <si>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</si>
  <si>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</si>
  <si>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</si>
  <si>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</si>
  <si>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</si>
  <si>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</si>
  <si>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</si>
  <si>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</si>
  <si>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</si>
  <si>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</si>
  <si>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</si>
  <si>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</si>
  <si>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</si>
  <si>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</si>
  <si>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</si>
  <si>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</si>
  <si>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</si>
  <si>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</si>
  <si>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</si>
  <si>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</si>
  <si>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</si>
  <si>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</si>
  <si>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</si>
  <si>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</si>
  <si>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</si>
  <si>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</si>
  <si>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</si>
  <si>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</si>
  <si>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</si>
  <si>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</si>
  <si>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</si>
  <si>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</si>
  <si>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</si>
  <si>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</si>
  <si>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</si>
  <si>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</si>
  <si>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</si>
  <si>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</si>
  <si>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</si>
  <si>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</si>
  <si>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</si>
  <si>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</si>
  <si>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</si>
  <si>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</si>
  <si>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</si>
  <si>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</si>
  <si>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</si>
  <si>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</si>
  <si>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</si>
  <si>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</si>
  <si>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</si>
  <si>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</si>
  <si>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</si>
  <si>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</si>
  <si>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</si>
  <si>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</si>
  <si>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</si>
  <si>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</si>
  <si>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</si>
  <si>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</si>
  <si>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</si>
  <si>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</si>
  <si>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</si>
  <si>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</si>
  <si>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</si>
  <si>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</si>
  <si>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</si>
  <si>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</si>
  <si>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</si>
  <si>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</si>
  <si>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</si>
  <si>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</si>
  <si>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</si>
  <si>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</si>
  <si>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</si>
  <si>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</si>
  <si>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</si>
  <si>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</si>
  <si>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</si>
  <si>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</si>
  <si>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</si>
  <si>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</si>
  <si>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</si>
  <si>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</si>
  <si>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</si>
  <si>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</si>
  <si>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</si>
  <si>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</si>
  <si>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</si>
  <si>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</si>
  <si>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</si>
  <si>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</si>
  <si>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</si>
  <si>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</si>
  <si>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</si>
  <si>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</si>
  <si>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</si>
  <si>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</si>
  <si>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</si>
  <si>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</si>
  <si>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</si>
  <si>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</si>
  <si>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</si>
  <si>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</si>
  <si>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</si>
  <si>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</si>
  <si>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</si>
  <si>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</si>
  <si>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</si>
  <si>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</si>
  <si>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</si>
  <si>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</si>
  <si>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</si>
  <si>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</si>
  <si>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</si>
  <si>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</si>
  <si>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</si>
  <si>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</si>
  <si>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</si>
  <si>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</si>
  <si>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</si>
  <si>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</si>
  <si>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</si>
  <si>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</si>
  <si>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</si>
  <si>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</si>
  <si>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</si>
  <si>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</si>
  <si>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</si>
  <si>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</si>
  <si>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</si>
  <si>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</si>
  <si>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</si>
  <si>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</si>
  <si>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</si>
  <si>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</si>
  <si>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</si>
  <si>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</si>
  <si>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</si>
  <si>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</si>
  <si>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</si>
  <si>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</si>
  <si>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</si>
  <si>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</si>
  <si>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</si>
  <si>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</si>
  <si>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</si>
  <si>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</si>
  <si>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</si>
  <si>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</si>
  <si>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</si>
  <si>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</si>
  <si>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</si>
  <si>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</si>
  <si>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</si>
  <si>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</si>
  <si>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</si>
  <si>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</si>
  <si>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</si>
  <si>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</si>
  <si>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</si>
  <si>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</si>
  <si>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</si>
  <si>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</si>
  <si>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</si>
  <si>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</si>
  <si>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</si>
  <si>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</si>
  <si>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</si>
  <si>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</si>
  <si>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</si>
  <si>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</si>
  <si>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</si>
  <si>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</si>
  <si>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</si>
  <si>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</si>
  <si>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</si>
  <si>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</si>
  <si>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</si>
  <si>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</si>
  <si>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</si>
  <si>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</si>
  <si>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</si>
  <si>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</si>
  <si>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</si>
  <si>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</si>
  <si>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</si>
  <si>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</si>
  <si>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</si>
  <si>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</si>
  <si>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</si>
  <si>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</si>
  <si>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</si>
  <si>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</si>
  <si>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</si>
  <si>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</si>
  <si>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</si>
  <si>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</si>
  <si>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</si>
  <si>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</si>
  <si>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</si>
  <si>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</si>
  <si>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</si>
  <si>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</si>
  <si>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</si>
  <si>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</si>
  <si>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</si>
  <si>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</si>
  <si>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</si>
  <si>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</si>
  <si>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</si>
  <si>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</si>
  <si>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</si>
  <si>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</si>
  <si>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</si>
  <si>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</si>
  <si>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</si>
  <si>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</si>
  <si>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</si>
  <si>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</si>
  <si>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</si>
  <si>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</si>
  <si>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</si>
  <si>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</si>
  <si>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</si>
  <si>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</si>
  <si>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</si>
  <si>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</si>
  <si>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</si>
  <si>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</si>
  <si>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</si>
  <si>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</si>
  <si>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</si>
  <si>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</si>
  <si>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</si>
  <si>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</si>
  <si>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</si>
  <si>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</si>
  <si>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</si>
  <si>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</si>
  <si>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</si>
  <si>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</si>
  <si>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</si>
  <si>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</si>
  <si>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</si>
  <si>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</si>
  <si>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</si>
  <si>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</si>
  <si>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</si>
  <si>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</si>
  <si>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</si>
  <si>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</si>
  <si>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</si>
  <si>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</si>
  <si>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</si>
  <si>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</si>
  <si>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</si>
  <si>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</si>
  <si>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</si>
  <si>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</si>
  <si>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</si>
  <si>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</si>
  <si>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</si>
  <si>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</si>
  <si>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</si>
  <si>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</si>
  <si>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</si>
  <si>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</si>
  <si>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</si>
  <si>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</si>
  <si>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</si>
  <si>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</si>
  <si>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</si>
  <si>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</si>
  <si>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</si>
  <si>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</si>
  <si>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</si>
  <si>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</si>
  <si>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</si>
  <si>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</si>
  <si>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</si>
  <si>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</si>
  <si>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</si>
  <si>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</si>
  <si>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</si>
  <si>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</si>
  <si>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</si>
  <si>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</si>
  <si>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</si>
  <si>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</si>
  <si>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</si>
  <si>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</si>
  <si>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</si>
  <si>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</si>
  <si>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</si>
  <si>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</si>
  <si>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</si>
  <si>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</si>
  <si>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</si>
  <si>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</si>
  <si>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</si>
  <si>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</si>
  <si>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</si>
  <si>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</si>
  <si>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</si>
  <si>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</si>
  <si>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</si>
  <si>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</si>
  <si>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</si>
  <si>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</si>
  <si>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</si>
  <si>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</si>
  <si>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</si>
  <si>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</si>
  <si>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</si>
  <si>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</si>
  <si>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</si>
  <si>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</si>
  <si>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</si>
  <si>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</si>
  <si>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</si>
  <si>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</si>
  <si>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</si>
  <si>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</si>
  <si>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</si>
  <si>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</si>
  <si>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</si>
  <si>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</si>
  <si>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</si>
  <si>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</si>
  <si>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</si>
  <si>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</si>
  <si>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</si>
  <si>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</si>
  <si>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</si>
  <si>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</si>
  <si>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</si>
  <si>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</si>
  <si>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</si>
  <si>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</si>
  <si>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</si>
  <si>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</si>
  <si>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</si>
  <si>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</si>
  <si>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</si>
  <si>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</si>
  <si>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</si>
  <si>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</si>
  <si>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</si>
  <si>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</si>
  <si>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</si>
  <si>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</si>
  <si>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</si>
  <si>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</si>
  <si>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</si>
  <si>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</si>
  <si>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</si>
  <si>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</si>
  <si>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</si>
  <si>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</si>
  <si>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</si>
  <si>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</si>
  <si>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</si>
  <si>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</si>
  <si>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</si>
  <si>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</si>
  <si>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</si>
  <si>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</si>
  <si>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</si>
  <si>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</si>
  <si>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</si>
  <si>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</si>
  <si>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</si>
  <si>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</si>
  <si>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</si>
  <si>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</si>
  <si>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</si>
  <si>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</si>
  <si>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</si>
  <si>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</si>
  <si>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</si>
  <si>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</si>
  <si>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</si>
  <si>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</si>
  <si>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</si>
  <si>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</si>
  <si>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</si>
  <si>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</si>
  <si>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</si>
  <si>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</si>
  <si>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</si>
  <si>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</si>
  <si>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</si>
  <si>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</si>
  <si>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</si>
  <si>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</si>
  <si>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</si>
  <si>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</si>
  <si>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</si>
  <si>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</si>
  <si>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</si>
  <si>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</si>
  <si>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</si>
  <si>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</si>
  <si>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</si>
  <si>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</si>
  <si>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</si>
  <si>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</si>
  <si>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</si>
  <si>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</si>
  <si>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</si>
  <si>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</si>
  <si>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</si>
  <si>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</si>
  <si>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</si>
  <si>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</si>
  <si>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</si>
  <si>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</si>
  <si>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</si>
  <si>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</si>
  <si>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</si>
  <si>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</si>
  <si>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</si>
  <si>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</si>
  <si>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</si>
  <si>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</si>
  <si>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</si>
  <si>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</si>
  <si>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</si>
  <si>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</si>
  <si>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</si>
  <si>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</si>
  <si>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</si>
  <si>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</si>
  <si>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</si>
  <si>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</si>
  <si>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</si>
  <si>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</si>
  <si>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</si>
  <si>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</si>
  <si>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</si>
  <si>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</si>
  <si>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</si>
  <si>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</si>
  <si>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</si>
  <si>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</si>
  <si>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</si>
  <si>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</si>
  <si>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</si>
  <si>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</si>
  <si>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</si>
  <si>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</si>
  <si>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</si>
  <si>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</si>
  <si>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</si>
  <si>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</si>
  <si>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</si>
  <si>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</si>
  <si>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</si>
  <si>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</si>
  <si>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</si>
  <si>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</si>
  <si>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</si>
  <si>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</si>
  <si>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</si>
  <si>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</si>
  <si>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</si>
  <si>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</si>
  <si>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</si>
  <si>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</si>
  <si>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</si>
  <si>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</si>
  <si>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</si>
  <si>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</si>
  <si>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</si>
  <si>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</si>
  <si>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</si>
  <si>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</si>
  <si>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</si>
  <si>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</si>
  <si>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</si>
  <si>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</si>
  <si>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</si>
  <si>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</si>
  <si>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</si>
  <si>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</si>
  <si>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</si>
  <si>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</si>
  <si>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</si>
  <si>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</si>
  <si>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</si>
  <si>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</si>
  <si>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</si>
  <si>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</si>
  <si>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</si>
  <si>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</si>
  <si>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</si>
  <si>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</si>
  <si>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</si>
  <si>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</si>
  <si>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</si>
  <si>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</si>
  <si>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</si>
  <si>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</si>
  <si>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</si>
  <si>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</si>
  <si>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</si>
  <si>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</si>
  <si>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</si>
  <si>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</si>
  <si>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</si>
  <si>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</si>
  <si>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</si>
  <si>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</si>
  <si>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</si>
  <si>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</si>
  <si>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</si>
  <si>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</si>
  <si>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</si>
  <si>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</si>
  <si>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</si>
  <si>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</si>
  <si>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</si>
  <si>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</si>
  <si>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</si>
  <si>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</si>
  <si>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</si>
  <si>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</si>
  <si>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</si>
  <si>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</si>
  <si>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</si>
  <si>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</si>
  <si>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</si>
  <si>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</si>
  <si>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</si>
  <si>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</si>
  <si>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</si>
  <si>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</si>
  <si>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</si>
  <si>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</si>
  <si>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</si>
  <si>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</si>
  <si>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</si>
  <si>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</si>
  <si>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</si>
  <si>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</si>
  <si>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</si>
  <si>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</si>
  <si>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</si>
  <si>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</si>
  <si>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</si>
  <si>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</si>
  <si>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</si>
  <si>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</si>
  <si>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</si>
  <si>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</si>
  <si>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</si>
  <si>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</si>
  <si>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</si>
  <si>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</si>
  <si>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</si>
  <si>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</si>
  <si>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</si>
  <si>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</si>
  <si>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</si>
  <si>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</si>
  <si>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</si>
  <si>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</si>
  <si>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</si>
  <si>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</si>
  <si>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</si>
  <si>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</si>
  <si>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</si>
  <si>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</si>
  <si>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</si>
  <si>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</si>
  <si>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</si>
  <si>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</si>
  <si>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</si>
  <si>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</si>
  <si>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</si>
  <si>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</si>
  <si>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</si>
  <si>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</si>
  <si>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</si>
  <si>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</si>
  <si>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</si>
  <si>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</si>
  <si>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</si>
  <si>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</si>
  <si>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</si>
  <si>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</si>
  <si>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</si>
  <si>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</si>
  <si>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</si>
  <si>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</si>
  <si>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</si>
  <si>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</si>
  <si>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</si>
  <si>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</si>
  <si>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</si>
  <si>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</si>
  <si>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</si>
  <si>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</si>
  <si>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</si>
  <si>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</si>
  <si>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</si>
  <si>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</si>
  <si>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</si>
  <si>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</si>
  <si>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</si>
  <si>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</si>
  <si>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</si>
  <si>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</si>
  <si>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</si>
  <si>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</si>
  <si>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</si>
  <si>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</si>
  <si>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</si>
  <si>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</si>
  <si>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</si>
  <si>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</si>
  <si>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</si>
  <si>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</si>
  <si>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</si>
  <si>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</si>
  <si>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</si>
  <si>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</si>
  <si>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</si>
  <si>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</si>
  <si>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</si>
  <si>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</si>
  <si>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</si>
  <si>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</si>
  <si>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</si>
  <si>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</si>
  <si>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</si>
  <si>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</si>
  <si>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</si>
  <si>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</si>
  <si>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</si>
  <si>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</si>
  <si>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</si>
  <si>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</si>
  <si>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</si>
  <si>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</si>
  <si>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</si>
  <si>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</si>
  <si>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</si>
  <si>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</si>
  <si>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</si>
  <si>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</si>
  <si>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</si>
  <si>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</si>
  <si>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</si>
  <si>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</si>
  <si>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</si>
  <si>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</si>
  <si>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</si>
  <si>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</si>
  <si>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</si>
  <si>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</si>
  <si>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</si>
  <si>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</si>
  <si>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</si>
  <si>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</si>
  <si>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</si>
  <si>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</si>
  <si>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</si>
  <si>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</si>
  <si>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</si>
  <si>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</si>
  <si>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</si>
  <si>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</si>
  <si>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</si>
  <si>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</si>
  <si>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</si>
  <si>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</si>
  <si>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</si>
  <si>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</si>
  <si>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</si>
  <si>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</si>
  <si>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</si>
  <si>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</si>
  <si>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</si>
  <si>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</si>
  <si>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</si>
  <si>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</si>
  <si>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</si>
  <si>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</si>
  <si>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</si>
  <si>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</si>
  <si>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</si>
  <si>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</si>
  <si>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</si>
  <si>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</si>
  <si>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</si>
  <si>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</si>
  <si>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</si>
  <si>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</si>
  <si>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</si>
  <si>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</si>
  <si>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</si>
  <si>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</si>
  <si>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</si>
  <si>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</si>
  <si>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</si>
  <si>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</si>
  <si>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</si>
  <si>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</si>
  <si>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</si>
  <si>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</si>
  <si>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</si>
  <si>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</si>
  <si>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</si>
  <si>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</si>
  <si>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</si>
  <si>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</si>
  <si>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</si>
  <si>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</si>
  <si>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</si>
  <si>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</si>
  <si>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</si>
  <si>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</si>
  <si>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</si>
  <si>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</si>
  <si>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</si>
  <si>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</si>
  <si>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</si>
  <si>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</si>
  <si>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</si>
  <si>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</si>
  <si>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</si>
  <si>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</si>
  <si>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</si>
  <si>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</si>
  <si>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</si>
  <si>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</si>
  <si>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</si>
  <si>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</si>
  <si>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</si>
  <si>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</si>
  <si>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</si>
  <si>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</si>
  <si>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</si>
  <si>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</si>
  <si>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</si>
  <si>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</si>
  <si>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</si>
  <si>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</si>
  <si>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</si>
  <si>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</si>
  <si>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</si>
  <si>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</si>
  <si>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</si>
  <si>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</si>
  <si>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</si>
  <si>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</si>
  <si>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</si>
  <si>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</si>
  <si>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</si>
  <si>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</si>
  <si>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</si>
  <si>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</si>
  <si>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</si>
  <si>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</si>
  <si>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</si>
  <si>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</si>
  <si>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</si>
  <si>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</si>
  <si>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</si>
  <si>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</si>
  <si>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</si>
  <si>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</si>
  <si>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</si>
  <si>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</si>
  <si>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</si>
  <si>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</si>
  <si>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</si>
  <si>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</si>
  <si>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</si>
  <si>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</si>
  <si>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</si>
  <si>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</si>
  <si>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</si>
  <si>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</si>
  <si>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</si>
  <si>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</si>
  <si>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</si>
  <si>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</si>
  <si>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</si>
  <si>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</si>
  <si>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</si>
  <si>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</si>
  <si>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</si>
  <si>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</si>
  <si>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</si>
  <si>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</si>
  <si>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</si>
  <si>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</si>
  <si>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</si>
  <si>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</si>
  <si>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</si>
  <si>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</si>
  <si>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</si>
  <si>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</si>
  <si>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</si>
  <si>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</si>
  <si>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</si>
  <si>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</si>
  <si>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</si>
  <si>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</si>
  <si>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</si>
  <si>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</si>
  <si>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</si>
  <si>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</si>
  <si>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</si>
  <si>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</si>
  <si>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</si>
  <si>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</si>
  <si>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</si>
  <si>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</si>
  <si>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</si>
  <si>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</si>
  <si>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</si>
  <si>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</si>
  <si>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</si>
  <si>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</si>
  <si>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</si>
  <si>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</si>
  <si>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</si>
  <si>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</si>
  <si>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</si>
  <si>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</si>
  <si>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</si>
  <si>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</si>
  <si>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</si>
  <si>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</si>
  <si>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</si>
  <si>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</si>
  <si>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</si>
  <si>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</si>
  <si>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</si>
  <si>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</si>
  <si>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</si>
  <si>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</si>
  <si>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</si>
  <si>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</si>
  <si>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</si>
  <si>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</si>
  <si>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</si>
  <si>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</si>
  <si>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</si>
  <si>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</si>
  <si>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</si>
  <si>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</si>
  <si>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</si>
  <si>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</si>
  <si>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</si>
  <si>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</si>
  <si>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</si>
  <si>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</si>
  <si>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</si>
  <si>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</si>
  <si>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</si>
  <si>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</si>
  <si>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</si>
  <si>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</si>
  <si>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</si>
  <si>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</si>
  <si>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</si>
  <si>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</si>
  <si>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</si>
  <si>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</si>
  <si>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</si>
  <si>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</si>
  <si>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</si>
  <si>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</si>
  <si>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</si>
  <si>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</si>
  <si>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</si>
  <si>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</si>
  <si>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</si>
  <si>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</si>
  <si>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</si>
  <si>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</si>
  <si>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</si>
  <si>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</si>
  <si>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</si>
  <si>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</si>
  <si>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</si>
  <si>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</si>
  <si>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</si>
  <si>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</si>
  <si>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</si>
  <si>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</si>
  <si>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</si>
  <si>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</si>
  <si>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</si>
  <si>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</si>
  <si>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</si>
  <si>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</si>
  <si>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</si>
  <si>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</si>
  <si>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</si>
  <si>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</si>
  <si>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</si>
  <si>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</si>
  <si>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</si>
  <si>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</si>
  <si>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</si>
  <si>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</si>
  <si>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</si>
  <si>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</si>
  <si>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</si>
  <si>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</si>
  <si>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</si>
  <si>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</si>
  <si>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</si>
  <si>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</si>
  <si>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</si>
  <si>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</si>
  <si>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</si>
  <si>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</si>
  <si>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</si>
  <si>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</si>
  <si>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</si>
  <si>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</si>
  <si>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</si>
  <si>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</si>
  <si>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</si>
  <si>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</si>
  <si>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</si>
  <si>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</si>
  <si>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</si>
  <si>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</si>
  <si>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</si>
  <si>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</si>
  <si>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</si>
  <si>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</si>
  <si>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</si>
  <si>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</si>
  <si>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</si>
  <si>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</si>
  <si>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</si>
  <si>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</si>
  <si>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</si>
  <si>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</si>
  <si>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</si>
  <si>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</si>
  <si>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</si>
  <si>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</si>
  <si>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</si>
  <si>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</si>
  <si>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</si>
  <si>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</si>
  <si>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</si>
  <si>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</si>
  <si>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</si>
  <si>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</si>
  <si>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</si>
  <si>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</si>
  <si>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</si>
  <si>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</si>
  <si>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</si>
  <si>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</si>
  <si>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</si>
  <si>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</si>
  <si>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</si>
  <si>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</si>
  <si>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</si>
  <si>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</si>
  <si>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</si>
  <si>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</si>
  <si>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</si>
  <si>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</si>
  <si>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</si>
  <si>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</si>
  <si>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</si>
  <si>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</si>
  <si>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</si>
  <si>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</si>
  <si>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</si>
  <si>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</si>
  <si>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</si>
  <si>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</si>
  <si>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</si>
  <si>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</si>
  <si>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</si>
  <si>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</si>
  <si>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</si>
  <si>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</si>
  <si>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</si>
  <si>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</si>
  <si>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</si>
  <si>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</si>
  <si>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</si>
  <si>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</si>
  <si>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</si>
  <si>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</si>
  <si>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</si>
  <si>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</si>
  <si>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</si>
  <si>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</si>
  <si>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</si>
  <si>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</si>
  <si>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</si>
  <si>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</si>
  <si>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</si>
  <si>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</si>
  <si>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</si>
  <si>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</si>
  <si>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</si>
  <si>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</si>
  <si>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</si>
  <si>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</si>
  <si>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</si>
  <si>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</si>
  <si>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</si>
  <si>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</si>
  <si>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</si>
  <si>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</si>
  <si>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</si>
  <si>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</si>
  <si>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</si>
  <si>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</si>
  <si>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</si>
  <si>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</si>
  <si>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</si>
  <si>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</si>
  <si>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</si>
  <si>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</si>
  <si>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</si>
  <si>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</si>
  <si>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</si>
  <si>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</si>
  <si>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</si>
  <si>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</si>
  <si>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</si>
  <si>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</si>
  <si>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</si>
  <si>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</si>
  <si>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</si>
  <si>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</si>
  <si>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</si>
  <si>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</si>
  <si>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</si>
  <si>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</si>
  <si>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</si>
  <si>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</si>
  <si>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</si>
  <si>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</si>
  <si>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</si>
  <si>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</si>
  <si>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</si>
  <si>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</si>
  <si>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</si>
  <si>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</si>
  <si>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</si>
  <si>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</si>
  <si>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</si>
  <si>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</si>
  <si>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</si>
  <si>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</si>
  <si>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</si>
  <si>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</si>
  <si>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</si>
  <si>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</si>
  <si>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</si>
  <si>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</si>
  <si>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</si>
  <si>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</si>
  <si>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</si>
  <si>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</si>
  <si>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</si>
  <si>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</si>
  <si>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</si>
  <si>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</si>
  <si>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</si>
  <si>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</si>
  <si>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</si>
  <si>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</si>
  <si>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</si>
  <si>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</si>
  <si>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</si>
  <si>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</si>
  <si>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</si>
  <si>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</si>
  <si>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</si>
  <si>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</si>
  <si>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</si>
  <si>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</si>
  <si>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</si>
  <si>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</si>
  <si>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</si>
  <si>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</si>
  <si>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</si>
  <si>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</si>
  <si>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</si>
  <si>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</si>
  <si>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</si>
  <si>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</si>
  <si>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</si>
  <si>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</si>
  <si>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</si>
  <si>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</si>
  <si>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</si>
  <si>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</si>
  <si>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</si>
  <si>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</si>
  <si>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</si>
  <si>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</si>
  <si>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</si>
  <si>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</si>
  <si>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</si>
  <si>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</si>
  <si>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</si>
  <si>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</si>
  <si>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</si>
  <si>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</si>
  <si>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</si>
  <si>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</si>
  <si>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</si>
  <si>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</si>
  <si>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</si>
  <si>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</si>
  <si>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</si>
  <si>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</si>
  <si>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</si>
  <si>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</si>
  <si>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</si>
  <si>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</si>
  <si>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</si>
  <si>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</si>
  <si>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</si>
  <si>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</si>
  <si>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</si>
  <si>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</si>
  <si>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</si>
  <si>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</si>
  <si>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</si>
  <si>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</si>
  <si>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</si>
  <si>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</si>
  <si>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</si>
  <si>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</si>
  <si>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</si>
  <si>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</si>
  <si>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</si>
  <si>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</si>
  <si>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</si>
  <si>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</si>
  <si>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</si>
  <si>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</si>
  <si>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</si>
  <si>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</si>
  <si>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</si>
  <si>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</si>
  <si>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</si>
  <si>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</si>
  <si>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</si>
  <si>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</si>
  <si>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</si>
  <si>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</si>
  <si>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</si>
  <si>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</si>
  <si>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</si>
  <si>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</si>
  <si>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</si>
  <si>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</si>
  <si>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</si>
  <si>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</si>
  <si>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</si>
  <si>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</si>
  <si>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</si>
  <si>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</si>
  <si>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</si>
  <si>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</si>
  <si>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</si>
  <si>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</si>
  <si>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</si>
  <si>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</si>
  <si>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</si>
  <si>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</si>
  <si>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</si>
  <si>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</si>
  <si>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</si>
  <si>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</si>
  <si>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</si>
  <si>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</si>
  <si>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</si>
  <si>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</si>
  <si>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</si>
  <si>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</si>
  <si>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</si>
  <si>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</si>
  <si>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</si>
  <si>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</si>
  <si>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</si>
  <si>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</si>
  <si>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</si>
  <si>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</si>
  <si>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</si>
  <si>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</si>
  <si>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</si>
  <si>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</si>
  <si>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</si>
  <si>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</si>
  <si>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</si>
  <si>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</si>
  <si>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</si>
  <si>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</si>
  <si>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</si>
  <si>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</si>
  <si>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</si>
  <si>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</si>
  <si>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</si>
  <si>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</si>
  <si>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</si>
  <si>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</si>
  <si>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</si>
  <si>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</si>
  <si>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</si>
  <si>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</si>
  <si>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</si>
  <si>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</si>
  <si>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</si>
  <si>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</si>
  <si>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</si>
  <si>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</si>
  <si>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</si>
  <si>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</si>
  <si>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</si>
  <si>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</si>
  <si>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</si>
  <si>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</si>
  <si>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</si>
  <si>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</si>
  <si>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</si>
  <si>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</si>
  <si>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</si>
  <si>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</si>
  <si>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</si>
  <si>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</si>
  <si>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</si>
  <si>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</si>
  <si>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</si>
  <si>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</si>
  <si>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</si>
  <si>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</si>
  <si>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</si>
  <si>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</si>
  <si>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</si>
  <si>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</si>
  <si>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</si>
  <si>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</si>
  <si>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</si>
  <si>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</si>
  <si>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</si>
  <si>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</si>
  <si>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</si>
  <si>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</si>
  <si>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</si>
  <si>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</si>
  <si>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</si>
  <si>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</si>
  <si>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</si>
  <si>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</si>
  <si>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</si>
  <si>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</si>
  <si>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</si>
  <si>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</si>
  <si>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</si>
  <si>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</si>
  <si>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</si>
  <si>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</si>
  <si>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</si>
  <si>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</si>
  <si>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</si>
  <si>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</si>
  <si>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</si>
  <si>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</si>
  <si>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</si>
  <si>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</si>
  <si>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</si>
  <si>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</si>
  <si>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</si>
  <si>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</si>
  <si>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</si>
  <si>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</si>
  <si>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</si>
  <si>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</si>
  <si>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</si>
  <si>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</si>
  <si>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</si>
  <si>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</si>
  <si>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</si>
  <si>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</si>
  <si>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</si>
  <si>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</si>
  <si>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</si>
  <si>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</si>
  <si>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</si>
  <si>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</si>
  <si>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</si>
  <si>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</si>
  <si>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</si>
  <si>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</si>
  <si>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</si>
  <si>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</si>
  <si>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</si>
  <si>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</si>
  <si>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</si>
  <si>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</si>
  <si>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</si>
  <si>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</si>
  <si>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</si>
  <si>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</si>
  <si>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</si>
  <si>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</si>
  <si>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</si>
  <si>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</si>
  <si>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</si>
  <si>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</si>
  <si>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</si>
  <si>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</si>
  <si>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</si>
  <si>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</si>
  <si>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</si>
  <si>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</si>
  <si>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</si>
  <si>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</si>
  <si>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</si>
  <si>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</si>
  <si>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</si>
  <si>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</si>
  <si>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</si>
  <si>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</si>
  <si>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</si>
  <si>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</si>
  <si>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</si>
  <si>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</si>
  <si>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</si>
  <si>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</si>
  <si>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</si>
  <si>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</si>
  <si>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</si>
  <si>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</si>
  <si>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</si>
  <si>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</si>
  <si>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</si>
  <si>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</si>
  <si>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</si>
  <si>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</si>
  <si>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</si>
  <si>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</si>
  <si>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</si>
  <si>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</si>
  <si>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</si>
  <si>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</si>
  <si>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</si>
  <si>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</si>
  <si>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</si>
  <si>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</si>
  <si>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</si>
  <si>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</si>
  <si>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</si>
  <si>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</si>
  <si>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</si>
  <si>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</si>
  <si>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</si>
  <si>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</si>
  <si>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</si>
  <si>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</si>
  <si>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</si>
  <si>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</si>
  <si>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</si>
  <si>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</si>
  <si>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</si>
  <si>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</si>
  <si>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</si>
  <si>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</si>
  <si>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</si>
  <si>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</si>
  <si>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</si>
  <si>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</si>
  <si>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</si>
  <si>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</si>
  <si>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</si>
  <si>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</si>
  <si>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</si>
  <si>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</si>
  <si>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</si>
  <si>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</si>
  <si>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</si>
  <si>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</si>
  <si>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</si>
  <si>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</si>
  <si>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</si>
  <si>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</si>
  <si>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</si>
  <si>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</si>
  <si>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</si>
  <si>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</si>
  <si>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</si>
  <si>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</si>
  <si>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</si>
  <si>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</si>
  <si>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</si>
  <si>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</si>
  <si>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</si>
  <si>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</si>
  <si>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</si>
  <si>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</si>
  <si>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</si>
  <si>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</si>
  <si>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</si>
  <si>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</si>
  <si>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</si>
  <si>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</si>
  <si>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</si>
  <si>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</si>
  <si>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</si>
  <si>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</si>
  <si>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</si>
  <si>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</si>
  <si>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</si>
  <si>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</si>
  <si>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</si>
  <si>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</si>
  <si>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</si>
  <si>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</si>
  <si>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</si>
  <si>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</si>
  <si>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</si>
  <si>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</si>
  <si>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</si>
  <si>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</si>
  <si>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</si>
  <si>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</si>
  <si>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</si>
  <si>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</si>
  <si>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</si>
  <si>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</si>
  <si>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</si>
  <si>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</si>
  <si>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</si>
  <si>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</si>
  <si>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</si>
  <si>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</si>
  <si>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</si>
  <si>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</si>
  <si>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</si>
  <si>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</si>
  <si>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</si>
  <si>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</si>
  <si>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</si>
  <si>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</si>
  <si>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</si>
  <si>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</si>
  <si>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</si>
  <si>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</si>
  <si>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</si>
  <si>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</si>
  <si>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</si>
  <si>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</si>
  <si>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</si>
  <si>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</si>
  <si>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</si>
  <si>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</si>
  <si>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</si>
  <si>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</si>
  <si>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</si>
  <si>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</si>
  <si>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</si>
  <si>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</si>
  <si>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</si>
  <si>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</si>
  <si>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</si>
  <si>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</si>
  <si>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</si>
  <si>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</si>
  <si>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</si>
  <si>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</si>
  <si>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</si>
  <si>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</si>
  <si>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</si>
  <si>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</si>
  <si>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</si>
  <si>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</si>
  <si>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</si>
  <si>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</si>
  <si>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</si>
  <si>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</si>
  <si>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</si>
  <si>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</si>
  <si>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</si>
  <si>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</si>
  <si>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</si>
  <si>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</si>
  <si>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</si>
  <si>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</si>
  <si>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</si>
  <si>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</si>
  <si>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</si>
  <si>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</si>
  <si>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</si>
  <si>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</si>
  <si>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</si>
  <si>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</si>
  <si>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</si>
  <si>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</si>
  <si>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</si>
  <si>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</si>
  <si>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</si>
  <si>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</si>
  <si>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</si>
  <si>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</si>
  <si>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</si>
  <si>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</si>
  <si>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</si>
  <si>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</si>
  <si>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</si>
  <si>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</si>
  <si>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</si>
  <si>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</si>
  <si>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</si>
  <si>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</si>
  <si>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</si>
  <si>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</si>
  <si>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</si>
  <si>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</si>
  <si>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</si>
  <si>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</si>
  <si>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</si>
  <si>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</si>
  <si>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</si>
  <si>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</si>
  <si>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</si>
  <si>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</si>
  <si>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</si>
  <si>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</si>
  <si>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</si>
  <si>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</si>
  <si>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</si>
  <si>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</si>
  <si>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</si>
  <si>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</si>
  <si>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</si>
  <si>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</si>
  <si>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</si>
  <si>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</si>
  <si>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</si>
  <si>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</si>
  <si>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</si>
  <si>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</si>
  <si>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</si>
  <si>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</si>
  <si>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</si>
  <si>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</si>
  <si>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</si>
  <si>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</si>
  <si>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</si>
  <si>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</si>
  <si>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</si>
  <si>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</si>
  <si>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</si>
  <si>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</si>
  <si>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</si>
  <si>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</si>
  <si>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</si>
  <si>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</si>
  <si>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</si>
  <si>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</si>
  <si>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</si>
  <si>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</si>
  <si>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</si>
  <si>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</si>
  <si>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</si>
  <si>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</si>
  <si>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</si>
  <si>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</si>
  <si>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</si>
  <si>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</si>
  <si>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</si>
  <si>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</si>
  <si>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</si>
  <si>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</si>
  <si>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</si>
  <si>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</si>
  <si>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</si>
  <si>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</si>
  <si>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</si>
  <si>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</si>
  <si>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</si>
  <si>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</si>
  <si>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</si>
  <si>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</si>
  <si>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</si>
  <si>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</si>
  <si>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</si>
  <si>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</si>
  <si>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</si>
  <si>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</si>
  <si>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</si>
  <si>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</si>
  <si>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</si>
  <si>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</si>
  <si>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</si>
  <si>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</si>
  <si>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</si>
  <si>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</si>
  <si>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</si>
  <si>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</si>
  <si>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</si>
  <si>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</si>
  <si>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</si>
  <si>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</si>
  <si>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</si>
  <si>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</si>
  <si>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</si>
  <si>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</si>
  <si>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</si>
  <si>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</si>
  <si>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</si>
  <si>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</si>
  <si>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</si>
  <si>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</si>
  <si>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</si>
  <si>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</si>
  <si>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</si>
  <si>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</si>
  <si>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</si>
  <si>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</si>
  <si>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</si>
  <si>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</si>
  <si>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</si>
  <si>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</si>
  <si>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</si>
  <si>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</si>
  <si>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</si>
  <si>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</si>
  <si>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</si>
  <si>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</si>
  <si>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</si>
  <si>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</si>
  <si>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</si>
  <si>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</si>
  <si>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</si>
  <si>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</si>
  <si>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</si>
  <si>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</si>
  <si>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</si>
  <si>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</si>
  <si>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</si>
  <si>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</si>
  <si>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</si>
  <si>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</si>
  <si>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</si>
  <si>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</si>
  <si>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</si>
  <si>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</si>
  <si>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</si>
  <si>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</si>
  <si>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</si>
  <si>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</si>
  <si>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</si>
  <si>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</si>
  <si>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</si>
  <si>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</si>
  <si>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</si>
  <si>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</si>
  <si>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</si>
  <si>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</si>
  <si>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</si>
  <si>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</si>
  <si>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</si>
  <si>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</si>
  <si>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</si>
  <si>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</si>
  <si>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</si>
  <si>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</si>
  <si>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</si>
  <si>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</si>
  <si>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</si>
  <si>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</si>
  <si>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</si>
  <si>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</si>
  <si>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</si>
  <si>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</si>
  <si>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</si>
  <si>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</si>
  <si>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</si>
  <si>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</si>
  <si>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</si>
  <si>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</si>
  <si>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</si>
  <si>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</si>
  <si>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</si>
  <si>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</si>
  <si>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</si>
  <si>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</si>
  <si>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</si>
  <si>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</si>
  <si>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</si>
  <si>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</si>
  <si>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</si>
  <si>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</si>
  <si>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</si>
  <si>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</si>
  <si>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</si>
  <si>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</si>
  <si>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</si>
  <si>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</si>
  <si>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</si>
  <si>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</si>
  <si>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</si>
  <si>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</si>
  <si>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</si>
  <si>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</si>
  <si>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</si>
  <si>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</si>
  <si>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</si>
  <si>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</si>
  <si>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</si>
  <si>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</si>
  <si>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</si>
  <si>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</si>
  <si>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</si>
  <si>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</si>
  <si>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</si>
  <si>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</si>
  <si>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</si>
  <si>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</si>
  <si>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</si>
  <si>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</si>
  <si>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</si>
  <si>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</si>
  <si>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</si>
  <si>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</si>
  <si>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</si>
  <si>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</si>
  <si>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</si>
  <si>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</si>
  <si>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</si>
  <si>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</si>
  <si>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</si>
  <si>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</si>
  <si>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</si>
  <si>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</si>
  <si>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</si>
  <si>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</si>
  <si>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</si>
  <si>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</si>
  <si>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</si>
  <si>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</si>
  <si>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</si>
  <si>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</si>
  <si>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</si>
  <si>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</si>
  <si>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</si>
  <si>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</si>
  <si>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</si>
  <si>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</si>
  <si>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</si>
  <si>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</si>
  <si>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</si>
  <si>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</si>
  <si>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</si>
  <si>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</si>
  <si>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</si>
  <si>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</si>
  <si>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</si>
  <si>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</si>
  <si>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</si>
  <si>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</si>
  <si>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</si>
  <si>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</si>
  <si>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</si>
  <si>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</si>
  <si>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</si>
  <si>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</si>
  <si>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</si>
  <si>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</si>
  <si>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</si>
  <si>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</si>
  <si>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</si>
  <si>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</si>
  <si>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</si>
  <si>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</si>
  <si>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</si>
  <si>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</si>
  <si>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</si>
  <si>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</si>
  <si>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</si>
  <si>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</si>
  <si>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</si>
  <si>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</si>
  <si>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</si>
  <si>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</si>
  <si>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</si>
  <si>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</si>
  <si>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</si>
  <si>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</si>
  <si>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</si>
  <si>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</si>
  <si>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</si>
  <si>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</si>
  <si>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</si>
  <si>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</si>
  <si>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</si>
  <si>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</si>
  <si>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</si>
  <si>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</si>
  <si>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</si>
  <si>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</si>
  <si>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</si>
  <si>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</si>
  <si>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</si>
  <si>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</si>
  <si>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</si>
  <si>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</si>
  <si>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</si>
  <si>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</si>
  <si>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</si>
  <si>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</si>
  <si>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</si>
  <si>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</si>
  <si>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</si>
  <si>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</si>
  <si>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</si>
  <si>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</si>
  <si>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</si>
  <si>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</si>
  <si>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</si>
  <si>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</si>
  <si>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</si>
  <si>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</si>
  <si>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</si>
  <si>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</si>
  <si>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</si>
  <si>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</si>
  <si>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</si>
  <si>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</si>
  <si>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</si>
  <si>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</si>
  <si>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</si>
  <si>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</si>
  <si>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</si>
  <si>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</si>
  <si>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</si>
  <si>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</si>
  <si>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</si>
  <si>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</si>
  <si>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</si>
  <si>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</si>
  <si>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</si>
  <si>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</si>
  <si>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</si>
  <si>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</si>
  <si>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</si>
  <si>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</si>
  <si>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</si>
  <si>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</si>
  <si>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</si>
  <si>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</si>
  <si>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</si>
  <si>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</si>
  <si>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</si>
  <si>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</si>
  <si>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</si>
  <si>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</si>
  <si>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</si>
  <si>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</si>
  <si>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</si>
  <si>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</si>
  <si>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</si>
  <si>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</si>
  <si>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</si>
  <si>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</si>
  <si>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</si>
  <si>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</si>
  <si>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</si>
  <si>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</si>
  <si>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</si>
  <si>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</si>
  <si>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</si>
  <si>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</si>
  <si>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</si>
  <si>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</si>
  <si>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</si>
  <si>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</si>
  <si>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</si>
  <si>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</si>
  <si>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</si>
  <si>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</si>
  <si>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</si>
  <si>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</si>
  <si>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</si>
  <si>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</si>
  <si>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</si>
  <si>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</si>
  <si>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</si>
  <si>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</si>
  <si>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</si>
  <si>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</si>
  <si>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</si>
  <si>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</si>
  <si>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</si>
  <si>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</si>
  <si>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</si>
  <si>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</si>
  <si>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</si>
  <si>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</si>
  <si>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</si>
  <si>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</si>
  <si>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</si>
  <si>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</si>
  <si>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</si>
  <si>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</si>
  <si>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</si>
  <si>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</si>
  <si>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</si>
  <si>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</si>
  <si>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</si>
  <si>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</si>
  <si>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</si>
  <si>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</si>
  <si>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</si>
  <si>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</si>
  <si>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</si>
  <si>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</si>
  <si>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</si>
  <si>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</si>
  <si>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</si>
  <si>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</si>
  <si>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</si>
  <si>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</si>
  <si>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</si>
  <si>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</si>
  <si>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</si>
  <si>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</si>
  <si>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</si>
  <si>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</si>
  <si>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</si>
  <si>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</si>
  <si>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</si>
  <si>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</si>
  <si>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</si>
  <si>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</si>
  <si>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</si>
  <si>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</si>
  <si>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</si>
  <si>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</si>
  <si>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</si>
  <si>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</si>
  <si>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</si>
  <si>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</si>
  <si>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</si>
  <si>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</si>
  <si>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</si>
  <si>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</si>
  <si>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</si>
  <si>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</si>
  <si>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</si>
  <si>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</si>
  <si>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</si>
  <si>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</si>
  <si>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</si>
  <si>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</si>
  <si>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</si>
  <si>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</si>
  <si>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</si>
  <si>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</si>
  <si>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</si>
  <si>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</si>
  <si>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</si>
  <si>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</si>
  <si>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</si>
  <si>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</si>
  <si>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</si>
  <si>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</si>
  <si>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</si>
  <si>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</si>
  <si>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</si>
  <si>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</si>
  <si>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</si>
  <si>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</si>
  <si>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</si>
  <si>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</si>
  <si>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</si>
  <si>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</si>
  <si>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</si>
  <si>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</si>
  <si>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</si>
  <si>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</si>
  <si>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</si>
  <si>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</si>
  <si>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</si>
  <si>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</si>
  <si>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</si>
  <si>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</si>
  <si>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</si>
  <si>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</si>
  <si>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</si>
  <si>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</si>
  <si>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</si>
  <si>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</si>
  <si>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</si>
  <si>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</si>
  <si>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</si>
  <si>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</si>
  <si>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</si>
  <si>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</si>
  <si>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</si>
  <si>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</si>
  <si>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</si>
  <si>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</si>
  <si>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</si>
  <si>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</si>
  <si>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</si>
  <si>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</si>
  <si>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</si>
  <si>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</si>
  <si>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</si>
  <si>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</si>
  <si>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</si>
  <si>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</si>
  <si>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</si>
  <si>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</si>
  <si>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</si>
  <si>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</si>
  <si>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</si>
  <si>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</si>
  <si>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</si>
  <si>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</si>
  <si>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</si>
  <si>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</si>
  <si>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</si>
  <si>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</si>
  <si>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</si>
  <si>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</si>
  <si>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</si>
  <si>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</si>
  <si>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</si>
  <si>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</si>
  <si>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</si>
  <si>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</si>
  <si>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</si>
  <si>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</si>
  <si>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</si>
  <si>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</si>
  <si>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</si>
  <si>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</si>
  <si>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</si>
  <si>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</si>
  <si>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</si>
  <si>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</si>
  <si>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</si>
  <si>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</si>
  <si>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</si>
  <si>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</si>
  <si>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</si>
  <si>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</si>
  <si>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</si>
  <si>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</si>
  <si>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</si>
  <si>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</si>
  <si>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</si>
  <si>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</si>
  <si>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</si>
  <si>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</si>
  <si>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</si>
  <si>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</si>
  <si>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</si>
  <si>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</si>
  <si>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</si>
  <si>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</si>
  <si>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</si>
  <si>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</si>
  <si>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</si>
  <si>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</si>
  <si>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</si>
  <si>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</si>
  <si>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</si>
  <si>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</si>
  <si>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</si>
  <si>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</si>
  <si>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</si>
  <si>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</si>
  <si>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</si>
  <si>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</si>
  <si>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</si>
  <si>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</si>
  <si>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</si>
  <si>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</si>
  <si>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</si>
  <si>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</si>
  <si>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</si>
  <si>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</si>
  <si>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</si>
  <si>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</si>
  <si>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</si>
  <si>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</si>
  <si>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</si>
  <si>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</si>
  <si>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</si>
  <si>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</si>
  <si>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</si>
  <si>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</si>
  <si>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</si>
  <si>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</si>
  <si>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</si>
  <si>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</si>
  <si>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</si>
  <si>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</si>
  <si>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</si>
  <si>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</si>
  <si>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</si>
  <si>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</si>
  <si>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</si>
  <si>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</si>
  <si>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</si>
  <si>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</si>
  <si>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</si>
  <si>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</si>
  <si>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</si>
  <si>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</si>
  <si>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</si>
  <si>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</si>
  <si>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</si>
  <si>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</si>
  <si>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</si>
  <si>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</si>
  <si>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</si>
  <si>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</si>
  <si>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</si>
  <si>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</si>
  <si>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</si>
  <si>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</si>
  <si>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</si>
  <si>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</si>
  <si>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</si>
  <si>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</si>
  <si>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</si>
  <si>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</si>
  <si>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</si>
  <si>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</si>
  <si>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</si>
  <si>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</si>
  <si>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</si>
  <si>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</si>
  <si>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</si>
  <si>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</si>
  <si>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</si>
  <si>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</si>
  <si>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</si>
  <si>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</si>
  <si>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</si>
  <si>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</si>
  <si>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</si>
  <si>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</si>
  <si>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</si>
  <si>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</si>
  <si>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</si>
  <si>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</si>
  <si>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</si>
  <si>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</si>
  <si>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</si>
  <si>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</si>
  <si>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</si>
  <si>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</si>
  <si>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</si>
  <si>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</si>
  <si>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</si>
  <si>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</si>
  <si>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</si>
  <si>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</si>
  <si>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</si>
  <si>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</si>
  <si>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</si>
  <si>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</si>
  <si>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</si>
  <si>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</si>
  <si>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</si>
  <si>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</si>
  <si>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</si>
  <si>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</si>
  <si>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</si>
  <si>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</si>
  <si>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</si>
  <si>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</si>
  <si>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</si>
  <si>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</si>
  <si>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</si>
  <si>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</si>
  <si>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</si>
  <si>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</si>
  <si>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</si>
  <si>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</si>
  <si>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</si>
  <si>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</si>
  <si>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</si>
  <si>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</si>
  <si>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</si>
  <si>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</si>
  <si>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</si>
  <si>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</si>
  <si>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</si>
  <si>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</si>
  <si>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</si>
  <si>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</si>
  <si>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</si>
  <si>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</si>
  <si>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</si>
  <si>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</si>
  <si>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</si>
  <si>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</si>
  <si>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</si>
  <si>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</si>
  <si>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</si>
  <si>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</si>
  <si>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</si>
  <si>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</si>
  <si>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</si>
  <si>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</si>
  <si>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</si>
  <si>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</si>
  <si>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</si>
  <si>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</si>
  <si>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</si>
  <si>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</si>
  <si>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</si>
  <si>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</si>
  <si>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</si>
  <si>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</si>
  <si>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</si>
  <si>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</si>
  <si>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</si>
  <si>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</si>
  <si>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</si>
  <si>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</si>
  <si>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</si>
  <si>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</si>
  <si>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</si>
  <si>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</si>
  <si>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</si>
  <si>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</si>
  <si>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</si>
  <si>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</si>
  <si>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</si>
  <si>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</si>
  <si>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</si>
  <si>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</si>
  <si>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</si>
  <si>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</si>
  <si>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</si>
  <si>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</si>
  <si>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</si>
  <si>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</si>
  <si>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</si>
  <si>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</si>
  <si>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</si>
  <si>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</si>
  <si>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</si>
  <si>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</si>
  <si>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</si>
  <si>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</si>
  <si>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</si>
  <si>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</si>
  <si>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</si>
  <si>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</si>
  <si>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</si>
  <si>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</si>
  <si>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</si>
  <si>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</si>
  <si>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</si>
  <si>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</si>
  <si>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</si>
  <si>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</si>
  <si>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</si>
  <si>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</si>
  <si>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</si>
  <si>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</si>
  <si>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</si>
  <si>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</si>
  <si>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</si>
  <si>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</si>
  <si>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</si>
  <si>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</si>
  <si>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</si>
  <si>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</si>
  <si>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</si>
  <si>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</si>
  <si>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</si>
  <si>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</si>
  <si>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</si>
  <si>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</si>
  <si>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</si>
  <si>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</si>
  <si>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</si>
  <si>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</si>
  <si>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</si>
  <si>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</si>
  <si>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</si>
  <si>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</si>
  <si>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</si>
  <si>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</si>
  <si>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</si>
  <si>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</si>
  <si>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</si>
  <si>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</si>
  <si>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</si>
  <si>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</si>
  <si>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</si>
  <si>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</si>
  <si>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</si>
  <si>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</si>
  <si>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</si>
  <si>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</si>
  <si>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</si>
  <si>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</si>
  <si>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</si>
  <si>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</si>
  <si>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</si>
  <si>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</si>
  <si>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</si>
  <si>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</si>
  <si>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</si>
  <si>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</si>
  <si>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</si>
  <si>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</si>
  <si>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</si>
  <si>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</si>
  <si>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</si>
  <si>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</si>
  <si>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</si>
  <si>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</si>
  <si>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</si>
  <si>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</si>
  <si>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</si>
  <si>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</si>
  <si>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</si>
  <si>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</si>
  <si>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</si>
  <si>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</si>
  <si>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</si>
  <si>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</si>
  <si>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</si>
  <si>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</si>
  <si>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</si>
  <si>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</si>
  <si>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</si>
  <si>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</si>
  <si>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</si>
  <si>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</si>
  <si>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</si>
  <si>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</si>
  <si>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</si>
  <si>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</si>
  <si>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</si>
  <si>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</si>
  <si>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</si>
  <si>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</si>
  <si>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</si>
  <si>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</si>
  <si>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</si>
  <si>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</si>
  <si>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</si>
  <si>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</si>
  <si>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</si>
  <si>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</si>
  <si>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</si>
  <si>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</si>
  <si>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</si>
  <si>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</si>
  <si>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</si>
  <si>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</si>
  <si>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</si>
  <si>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</si>
  <si>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</si>
  <si>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</si>
  <si>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</si>
  <si>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</si>
  <si>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</si>
  <si>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</si>
  <si>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</si>
  <si>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</si>
  <si>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</si>
  <si>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</si>
  <si>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</si>
  <si>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</si>
  <si>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</si>
  <si>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</si>
  <si>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</si>
  <si>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</si>
  <si>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</si>
  <si>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</si>
  <si>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</si>
  <si>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</si>
  <si>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</si>
  <si>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</si>
  <si>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</si>
  <si>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</si>
  <si>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</si>
  <si>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</si>
  <si>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</si>
  <si>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</si>
  <si>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</si>
  <si>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</si>
  <si>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</si>
  <si>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</si>
  <si>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</si>
  <si>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</si>
  <si>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</si>
  <si>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</si>
  <si>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</si>
  <si>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</si>
  <si>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</si>
  <si>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</si>
  <si>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</si>
  <si>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</si>
  <si>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</si>
  <si>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</si>
  <si>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</si>
  <si>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</si>
  <si>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</si>
  <si>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</si>
  <si>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</si>
  <si>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</si>
  <si>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</si>
  <si>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</si>
  <si>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</si>
  <si>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</si>
  <si>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</si>
  <si>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</si>
  <si>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</si>
  <si>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</si>
  <si>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</si>
  <si>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</si>
  <si>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</si>
  <si>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</si>
  <si>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</si>
  <si>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</si>
  <si>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</si>
  <si>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</si>
  <si>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</si>
  <si>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</si>
  <si>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</si>
  <si>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</si>
  <si>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</si>
  <si>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</si>
  <si>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</si>
  <si>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</si>
  <si>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</si>
  <si>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</si>
  <si>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</si>
  <si>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</si>
  <si>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</si>
  <si>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</si>
  <si>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</si>
  <si>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</si>
  <si>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</si>
  <si>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</si>
  <si>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</si>
  <si>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</si>
  <si>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</si>
  <si>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</si>
  <si>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</si>
  <si>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</si>
  <si>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</si>
  <si>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</si>
  <si>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</si>
  <si>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</si>
  <si>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</si>
  <si>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</si>
  <si>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</si>
  <si>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</si>
  <si>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</si>
  <si>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</si>
  <si>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</si>
  <si>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</si>
  <si>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</si>
  <si>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</si>
  <si>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</si>
  <si>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</si>
  <si>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</si>
  <si>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</si>
  <si>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</si>
  <si>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</si>
  <si>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</si>
  <si>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</si>
  <si>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</si>
  <si>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</si>
  <si>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</si>
  <si>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</si>
  <si>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</si>
  <si>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</si>
  <si>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</si>
  <si>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</si>
  <si>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</si>
  <si>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</si>
  <si>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</si>
  <si>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</si>
  <si>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</si>
  <si>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</si>
  <si>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</si>
  <si>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</si>
  <si>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</si>
  <si>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</si>
  <si>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</si>
  <si>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</si>
  <si>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</si>
  <si>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</si>
  <si>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</si>
  <si>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</si>
  <si>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</si>
  <si>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</si>
  <si>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</si>
  <si>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</si>
  <si>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</si>
  <si>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</si>
  <si>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</si>
  <si>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</si>
  <si>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</si>
  <si>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</si>
  <si>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</si>
  <si>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</si>
  <si>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</si>
  <si>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</si>
  <si>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</si>
  <si>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</si>
  <si>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</si>
  <si>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</si>
  <si>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</si>
  <si>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</si>
  <si>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</si>
  <si>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</si>
  <si>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</si>
  <si>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</si>
  <si>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</si>
  <si>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</si>
  <si>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</si>
  <si>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</si>
  <si>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</si>
  <si>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</si>
  <si>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</si>
  <si>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</si>
  <si>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</si>
  <si>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</si>
  <si>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</si>
  <si>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</si>
  <si>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</si>
  <si>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</si>
  <si>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</si>
  <si>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</si>
  <si>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</si>
  <si>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</si>
  <si>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</si>
  <si>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</si>
  <si>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</si>
  <si>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</si>
  <si>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</si>
  <si>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</si>
  <si>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</si>
  <si>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</si>
  <si>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</si>
  <si>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</si>
  <si>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</si>
  <si>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</si>
  <si>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</si>
  <si>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</si>
  <si>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</si>
  <si>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</si>
  <si>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</si>
  <si>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</si>
  <si>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</si>
  <si>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</si>
  <si>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</si>
  <si>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</si>
  <si>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</si>
  <si>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</si>
  <si>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</si>
  <si>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</si>
  <si>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</si>
  <si>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</si>
  <si>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</si>
  <si>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</si>
  <si>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</si>
  <si>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</si>
  <si>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</si>
  <si>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</si>
  <si>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</si>
  <si>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</si>
  <si>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</si>
  <si>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</si>
  <si>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</si>
  <si>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</si>
  <si>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</si>
  <si>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</si>
  <si>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</si>
  <si>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</si>
  <si>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</si>
  <si>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</si>
  <si>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</si>
  <si>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</si>
  <si>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</si>
  <si>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</si>
  <si>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</si>
  <si>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</si>
  <si>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</si>
  <si>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</si>
  <si>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</si>
  <si>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</si>
  <si>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</si>
  <si>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</si>
  <si>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</si>
  <si>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</si>
  <si>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</si>
  <si>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</si>
  <si>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</si>
  <si>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</si>
  <si>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</si>
  <si>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</si>
  <si>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</si>
  <si>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</si>
  <si>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</si>
  <si>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</si>
  <si>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</si>
  <si>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</si>
  <si>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</si>
  <si>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</si>
  <si>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</si>
  <si>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</si>
  <si>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</si>
  <si>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</si>
  <si>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</si>
  <si>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</si>
  <si>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</si>
  <si>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</si>
  <si>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</si>
  <si>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</si>
  <si>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</si>
  <si>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</si>
  <si>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</si>
  <si>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</si>
  <si>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</si>
  <si>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</si>
  <si>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</si>
  <si>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</si>
  <si>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</si>
  <si>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</si>
  <si>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</si>
  <si>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</si>
  <si>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</si>
  <si>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</si>
  <si>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</si>
  <si>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</si>
  <si>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</si>
  <si>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</si>
  <si>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</si>
  <si>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</si>
  <si>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</si>
  <si>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</si>
  <si>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</si>
  <si>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</si>
  <si>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</si>
  <si>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</si>
  <si>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</si>
  <si>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</si>
  <si>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</si>
  <si>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</si>
  <si>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</si>
  <si>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</si>
  <si>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</si>
  <si>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</si>
  <si>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</si>
  <si>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</si>
  <si>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</si>
  <si>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</si>
  <si>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</si>
  <si>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</si>
  <si>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</si>
  <si>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</si>
  <si>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</si>
  <si>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</si>
  <si>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</si>
  <si>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</si>
  <si>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</si>
  <si>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</si>
  <si>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</si>
  <si>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</si>
  <si>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</si>
  <si>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</si>
  <si>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</si>
  <si>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</si>
  <si>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</si>
  <si>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</si>
  <si>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</si>
  <si>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</si>
  <si>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</si>
  <si>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</si>
  <si>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</si>
  <si>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</si>
  <si>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</si>
  <si>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</si>
  <si>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</si>
  <si>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</si>
  <si>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</si>
  <si>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</si>
  <si>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</si>
  <si>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</si>
  <si>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</si>
  <si>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</si>
  <si>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</si>
  <si>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</si>
  <si>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</si>
  <si>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</si>
  <si>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</si>
  <si>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</si>
  <si>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</si>
  <si>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</si>
  <si>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</si>
  <si>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</si>
  <si>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</si>
  <si>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</si>
  <si>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</si>
  <si>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</si>
  <si>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</si>
  <si>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</si>
  <si>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</si>
  <si>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</si>
  <si>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</si>
  <si>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</si>
  <si>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</si>
  <si>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</si>
  <si>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</si>
  <si>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</si>
  <si>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</si>
  <si>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</si>
  <si>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</si>
  <si>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</si>
  <si>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</si>
  <si>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</si>
  <si>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</si>
  <si>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</si>
  <si>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</si>
  <si>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</si>
  <si>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</si>
  <si>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</si>
  <si>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</si>
  <si>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</si>
  <si>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</si>
  <si>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</si>
  <si>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</si>
  <si>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</si>
  <si>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</si>
  <si>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</si>
  <si>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</si>
  <si>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</si>
  <si>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</si>
  <si>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</si>
  <si>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</si>
  <si>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</si>
  <si>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</si>
  <si>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</si>
  <si>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</si>
  <si>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</si>
  <si>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</si>
  <si>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</si>
  <si>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</si>
  <si>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</si>
  <si>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</si>
  <si>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</si>
  <si>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</si>
  <si>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</si>
  <si>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</si>
  <si>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</si>
  <si>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</si>
  <si>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</si>
  <si>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</si>
  <si>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</si>
  <si>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</si>
  <si>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</si>
  <si>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</si>
  <si>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</si>
  <si>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</si>
  <si>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</si>
  <si>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</si>
  <si>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</si>
  <si>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</si>
  <si>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</si>
  <si>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</si>
  <si>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</si>
  <si>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</si>
  <si>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</si>
  <si>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</si>
  <si>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</si>
  <si>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</si>
  <si>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</si>
  <si>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</si>
  <si>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</si>
  <si>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</si>
  <si>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</si>
  <si>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</si>
  <si>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</si>
  <si>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</si>
  <si>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</si>
  <si>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</si>
  <si>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</si>
  <si>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</si>
  <si>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</si>
  <si>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</si>
  <si>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</si>
  <si>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</si>
  <si>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</si>
  <si>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</si>
  <si>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</si>
  <si>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</si>
  <si>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</si>
  <si>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</si>
  <si>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</si>
  <si>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</si>
  <si>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</si>
  <si>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</si>
  <si>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</si>
  <si>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</si>
  <si>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</si>
  <si>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</si>
  <si>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</si>
  <si>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</si>
  <si>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</si>
  <si>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</si>
  <si>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</si>
  <si>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</si>
  <si>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</si>
  <si>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</si>
  <si>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</si>
  <si>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</si>
  <si>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</si>
  <si>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</si>
  <si>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</si>
  <si>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</si>
  <si>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</si>
  <si>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</si>
  <si>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</si>
  <si>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</si>
  <si>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</si>
  <si>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</si>
  <si>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</si>
  <si>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</si>
  <si>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</si>
  <si>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</si>
  <si>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</si>
  <si>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</si>
  <si>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</si>
  <si>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</si>
  <si>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</si>
  <si>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</si>
  <si>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</si>
  <si>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</si>
  <si>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</si>
  <si>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</si>
  <si>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</si>
  <si>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</si>
  <si>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</si>
  <si>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</si>
  <si>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</si>
  <si>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</si>
  <si>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</si>
  <si>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</si>
  <si>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</si>
  <si>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</si>
  <si>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</si>
  <si>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</si>
  <si>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</si>
  <si>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</si>
  <si>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</si>
  <si>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</si>
  <si>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</si>
  <si>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</si>
  <si>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</si>
  <si>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</si>
  <si>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</si>
  <si>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</si>
  <si>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</si>
  <si>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</si>
  <si>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</si>
  <si>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</si>
  <si>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</si>
  <si>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</si>
  <si>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</si>
  <si>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</si>
  <si>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</si>
  <si>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</si>
  <si>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</si>
  <si>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</si>
  <si>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</si>
  <si>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</si>
  <si>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</si>
  <si>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</si>
  <si>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</si>
  <si>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</si>
  <si>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</si>
  <si>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</si>
  <si>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</si>
  <si>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</si>
  <si>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</si>
  <si>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</si>
  <si>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</si>
  <si>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</si>
  <si>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</si>
  <si>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</si>
  <si>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</si>
  <si>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</si>
  <si>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</si>
  <si>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</si>
  <si>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</si>
  <si>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</si>
  <si>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</si>
  <si>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</si>
  <si>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</si>
  <si>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</si>
  <si>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</si>
  <si>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</si>
  <si>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</si>
  <si>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</si>
  <si>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</si>
  <si>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</si>
  <si>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</si>
  <si>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</si>
  <si>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</si>
  <si>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</si>
  <si>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</si>
  <si>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</si>
  <si>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</si>
  <si>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</si>
  <si>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</si>
  <si>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</si>
  <si>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</si>
  <si>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</si>
  <si>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</si>
  <si>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</si>
  <si>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</si>
  <si>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</si>
  <si>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</si>
  <si>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</si>
  <si>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</si>
  <si>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</si>
  <si>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</si>
  <si>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</si>
  <si>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</si>
  <si>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</si>
  <si>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</si>
  <si>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</si>
  <si>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</si>
  <si>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</si>
  <si>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</si>
  <si>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</si>
  <si>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</si>
  <si>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</si>
  <si>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</si>
  <si>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</si>
  <si>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</si>
  <si>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</si>
  <si>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</si>
  <si>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</si>
  <si>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</si>
  <si>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</si>
  <si>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</si>
  <si>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</si>
  <si>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</si>
  <si>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</si>
  <si>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</si>
  <si>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</si>
  <si>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</si>
  <si>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</si>
  <si>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</si>
  <si>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</si>
  <si>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</si>
  <si>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</si>
  <si>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</si>
  <si>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</si>
  <si>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</si>
  <si>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</si>
  <si>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</si>
  <si>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</si>
  <si>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</si>
  <si>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</si>
  <si>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</si>
  <si>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</si>
  <si>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</si>
  <si>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</si>
  <si>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</si>
  <si>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</si>
  <si>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</si>
  <si>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</si>
  <si>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</si>
  <si>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</si>
  <si>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</si>
  <si>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</si>
  <si>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</si>
  <si>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</si>
  <si>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</si>
  <si>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</si>
  <si>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</si>
  <si>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</si>
  <si>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</si>
  <si>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</si>
  <si>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</si>
  <si>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</si>
  <si>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</si>
  <si>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</si>
  <si>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</si>
  <si>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</si>
  <si>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</si>
  <si>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</si>
  <si>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</si>
  <si>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</si>
  <si>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</si>
  <si>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</si>
  <si>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</si>
  <si>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</si>
  <si>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</si>
  <si>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</si>
  <si>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</si>
  <si>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</si>
  <si>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</si>
  <si>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</si>
  <si>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</si>
  <si>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</si>
  <si>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</si>
  <si>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</si>
  <si>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</si>
  <si>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</si>
  <si>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</si>
  <si>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</si>
  <si>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</si>
  <si>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</si>
  <si>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</si>
  <si>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</si>
  <si>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</si>
  <si>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</si>
  <si>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</si>
  <si>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</si>
  <si>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</si>
  <si>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</si>
  <si>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</si>
  <si>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</si>
  <si>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</si>
  <si>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</si>
  <si>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</si>
  <si>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</si>
  <si>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</si>
  <si>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</si>
  <si>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</si>
  <si>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</si>
  <si>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</si>
  <si>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</si>
  <si>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</si>
  <si>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</si>
  <si>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</si>
  <si>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</si>
  <si>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</si>
  <si>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</si>
  <si>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</si>
  <si>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</si>
  <si>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</si>
  <si>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</si>
  <si>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</si>
  <si>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</si>
  <si>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</si>
  <si>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</si>
  <si>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</si>
  <si>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</si>
  <si>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</si>
  <si>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</si>
  <si>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</si>
  <si>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</si>
  <si>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</si>
  <si>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</si>
  <si>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</si>
  <si>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</si>
  <si>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</si>
  <si>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</si>
  <si>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</si>
  <si>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</si>
  <si>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</si>
  <si>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</si>
  <si>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</si>
  <si>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</si>
  <si>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</si>
  <si>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</si>
  <si>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</si>
  <si>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</si>
  <si>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</si>
  <si>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</si>
  <si>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</si>
  <si>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</si>
  <si>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</si>
  <si>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</si>
  <si>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</si>
  <si>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</si>
  <si>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</si>
  <si>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</si>
  <si>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</si>
  <si>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</si>
  <si>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</si>
  <si>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</si>
  <si>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</si>
  <si>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</si>
  <si>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</si>
  <si>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</si>
  <si>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</si>
  <si>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</si>
  <si>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</si>
  <si>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</si>
  <si>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</si>
  <si>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</si>
  <si>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</si>
  <si>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</si>
  <si>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</si>
  <si>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</si>
  <si>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</si>
  <si>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</si>
  <si>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</si>
  <si>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</si>
  <si>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</si>
  <si>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</si>
  <si>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</si>
  <si>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</si>
  <si>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</si>
  <si>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</si>
  <si>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</si>
  <si>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</si>
  <si>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</si>
  <si>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</si>
  <si>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</si>
  <si>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</si>
  <si>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</si>
  <si>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</si>
  <si>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</si>
  <si>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</si>
  <si>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</si>
  <si>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</si>
  <si>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</si>
  <si>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</si>
  <si>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</si>
  <si>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</si>
  <si>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</si>
  <si>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</si>
  <si>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</si>
  <si>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</si>
  <si>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</si>
  <si>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</si>
  <si>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</si>
  <si>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</si>
  <si>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</si>
  <si>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</si>
  <si>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</si>
  <si>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</si>
  <si>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</si>
  <si>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</si>
  <si>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</si>
  <si>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</si>
  <si>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</si>
  <si>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</si>
  <si>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</si>
  <si>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</si>
  <si>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</si>
  <si>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</si>
  <si>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</si>
  <si>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</si>
  <si>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</si>
  <si>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</si>
  <si>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</si>
  <si>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</si>
  <si>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</si>
  <si>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</si>
  <si>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</si>
  <si>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</si>
  <si>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</si>
  <si>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</si>
  <si>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</si>
  <si>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</si>
  <si>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</si>
  <si>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</si>
  <si>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</si>
  <si>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</si>
  <si>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</si>
  <si>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</si>
  <si>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</si>
  <si>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</si>
  <si>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</si>
  <si>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</si>
  <si>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</si>
  <si>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</si>
  <si>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</si>
  <si>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</si>
  <si>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</si>
  <si>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</si>
  <si>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</si>
  <si>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</si>
  <si>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</si>
  <si>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</si>
  <si>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</si>
  <si>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</si>
  <si>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</si>
  <si>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</si>
  <si>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</si>
  <si>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</si>
  <si>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</si>
  <si>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</si>
  <si>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</si>
  <si>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</si>
  <si>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</si>
  <si>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</si>
  <si>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</si>
  <si>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</si>
  <si>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</si>
  <si>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</si>
  <si>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</si>
  <si>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</si>
  <si>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</si>
  <si>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</si>
  <si>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</si>
  <si>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</si>
  <si>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</si>
  <si>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</si>
  <si>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</si>
  <si>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</si>
  <si>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</si>
  <si>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</si>
  <si>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</si>
  <si>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</si>
  <si>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</si>
  <si>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</si>
  <si>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</si>
  <si>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</si>
  <si>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</si>
  <si>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</si>
  <si>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</si>
  <si>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</si>
  <si>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</si>
  <si>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</si>
  <si>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</si>
  <si>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</si>
  <si>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</si>
  <si>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</si>
  <si>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</si>
  <si>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</si>
  <si>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</si>
  <si>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</si>
  <si>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</si>
  <si>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</si>
  <si>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</si>
  <si>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</si>
  <si>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</si>
  <si>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</si>
  <si>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</si>
  <si>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</si>
  <si>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</si>
  <si>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</si>
  <si>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</si>
  <si>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</si>
  <si>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</si>
  <si>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</si>
  <si>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</si>
  <si>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</si>
  <si>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</si>
  <si>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</si>
  <si>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</si>
  <si>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</si>
  <si>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</si>
  <si>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</si>
  <si>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</si>
  <si>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</si>
  <si>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</si>
  <si>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</si>
  <si>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</si>
  <si>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</si>
  <si>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</si>
  <si>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</si>
  <si>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</si>
  <si>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</si>
  <si>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</si>
  <si>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</si>
  <si>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</si>
  <si>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</si>
  <si>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</si>
  <si>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</si>
  <si>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</si>
  <si>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</si>
  <si>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</si>
  <si>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</si>
  <si>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</si>
  <si>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</si>
  <si>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</si>
  <si>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</si>
  <si>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</si>
  <si>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</si>
  <si>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</si>
  <si>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</si>
  <si>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</si>
  <si>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</si>
  <si>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</si>
  <si>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</si>
  <si>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</si>
  <si>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</si>
  <si>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</si>
  <si>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</si>
  <si>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</si>
  <si>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</si>
  <si>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</si>
  <si>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</si>
  <si>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</si>
  <si>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</si>
  <si>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</si>
  <si>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</si>
  <si>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</si>
  <si>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</si>
  <si>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</si>
  <si>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</si>
  <si>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</si>
  <si>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</si>
  <si>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</si>
  <si>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</si>
  <si>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</si>
  <si>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</si>
  <si>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</si>
  <si>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</si>
  <si>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</si>
  <si>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</si>
  <si>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</si>
  <si>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</si>
  <si>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</si>
  <si>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</si>
  <si>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</si>
  <si>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</si>
  <si>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</si>
  <si>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</si>
  <si>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</si>
  <si>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</si>
  <si>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</si>
  <si>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</si>
  <si>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</si>
  <si>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</si>
  <si>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</si>
  <si>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</si>
  <si>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</si>
  <si>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</si>
  <si>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</si>
  <si>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</si>
  <si>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</si>
  <si>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</si>
  <si>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</si>
  <si>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</si>
  <si>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</si>
  <si>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</si>
  <si>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</si>
  <si>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</si>
  <si>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</si>
  <si>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</si>
  <si>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</si>
  <si>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</si>
  <si>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</si>
  <si>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</si>
  <si>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</si>
  <si>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</si>
  <si>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</si>
  <si>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</si>
  <si>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</si>
  <si>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</si>
  <si>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</si>
  <si>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</si>
  <si>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</si>
  <si>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</si>
  <si>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</si>
  <si>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</si>
  <si>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</si>
  <si>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</si>
  <si>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</si>
  <si>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</si>
  <si>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</si>
  <si>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</si>
  <si>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</si>
  <si>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</si>
  <si>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</si>
  <si>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</si>
  <si>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</si>
  <si>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</si>
  <si>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</si>
  <si>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</si>
  <si>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</si>
  <si>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</si>
  <si>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</si>
  <si>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</si>
  <si>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</si>
  <si>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</si>
  <si>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</si>
  <si>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</si>
  <si>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</si>
  <si>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</si>
  <si>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</si>
  <si>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</si>
  <si>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</si>
  <si>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</si>
  <si>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</si>
  <si>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</si>
  <si>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</si>
  <si>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</si>
  <si>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</si>
  <si>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</si>
  <si>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</si>
  <si>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</si>
  <si>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</si>
  <si>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</si>
  <si>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</si>
  <si>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</si>
  <si>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</si>
  <si>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</si>
  <si>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</si>
  <si>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</si>
  <si>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</si>
  <si>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</si>
  <si>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</si>
  <si>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</si>
  <si>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</si>
  <si>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</si>
  <si>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</si>
  <si>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</si>
  <si>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</si>
  <si>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</si>
  <si>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</si>
  <si>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</si>
  <si>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</si>
  <si>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</si>
  <si>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</si>
  <si>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</si>
  <si>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</si>
  <si>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</si>
  <si>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</si>
  <si>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</si>
  <si>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</si>
  <si>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</si>
  <si>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</si>
  <si>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</si>
  <si>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</si>
  <si>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</si>
  <si>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</si>
  <si>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</si>
  <si>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</si>
  <si>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</si>
  <si>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</si>
  <si>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</si>
  <si>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</si>
  <si>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</si>
  <si>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</si>
  <si>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</si>
  <si>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</si>
  <si>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</si>
  <si>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</si>
  <si>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</si>
  <si>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</si>
  <si>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</si>
  <si>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</si>
  <si>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</si>
  <si>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</si>
  <si>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</si>
  <si>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</si>
  <si>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</si>
  <si>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</si>
  <si>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</si>
  <si>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</si>
  <si>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</si>
  <si>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</si>
  <si>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</si>
  <si>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</si>
  <si>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</si>
  <si>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</si>
  <si>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</si>
  <si>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</si>
  <si>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</si>
  <si>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</si>
  <si>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</si>
  <si>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</si>
  <si>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</si>
  <si>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</si>
  <si>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</si>
  <si>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</si>
  <si>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</si>
  <si>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</si>
  <si>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</si>
  <si>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</si>
  <si>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</si>
  <si>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</si>
  <si>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</si>
  <si>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</si>
  <si>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</si>
  <si>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</si>
  <si>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</si>
  <si>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</si>
  <si>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</si>
  <si>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</si>
  <si>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</si>
  <si>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</si>
  <si>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</si>
  <si>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</si>
  <si>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</si>
  <si>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</si>
  <si>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</si>
  <si>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</si>
  <si>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</si>
  <si>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</si>
  <si>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</si>
  <si>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</si>
  <si>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</si>
  <si>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</si>
  <si>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</si>
  <si>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</si>
  <si>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</si>
  <si>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</si>
  <si>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</si>
  <si>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</si>
  <si>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</si>
  <si>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</si>
  <si>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</si>
  <si>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</si>
  <si>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</si>
  <si>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</si>
  <si>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</si>
  <si>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</si>
  <si>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</si>
  <si>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</si>
  <si>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</si>
  <si>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</si>
  <si>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</si>
  <si>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</si>
  <si>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</si>
  <si>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</si>
  <si>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</si>
  <si>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</si>
  <si>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</si>
  <si>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</si>
  <si>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</si>
  <si>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</si>
  <si>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</si>
  <si>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</si>
  <si>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</si>
  <si>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</si>
  <si>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</si>
  <si>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</si>
  <si>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</si>
  <si>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</si>
  <si>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</si>
  <si>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</si>
  <si>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</si>
  <si>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</si>
  <si>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</si>
  <si>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</si>
  <si>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</si>
  <si>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</si>
  <si>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</si>
  <si>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</si>
  <si>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</si>
  <si>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</si>
  <si>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</si>
  <si>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</si>
  <si>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</si>
  <si>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</si>
  <si>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</si>
  <si>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</si>
  <si>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</si>
  <si>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</si>
  <si>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</si>
  <si>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</si>
  <si>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</si>
  <si>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</si>
  <si>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</si>
  <si>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</si>
  <si>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</si>
  <si>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</si>
  <si>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</si>
  <si>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</si>
  <si>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</si>
  <si>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</si>
  <si>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</si>
  <si>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</si>
  <si>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</si>
  <si>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</si>
  <si>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</si>
  <si>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</si>
  <si>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</si>
  <si>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</si>
  <si>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</si>
  <si>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</si>
  <si>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</si>
  <si>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</si>
  <si>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</si>
  <si>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</si>
  <si>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</si>
  <si>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</si>
  <si>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</si>
  <si>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</si>
  <si>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</si>
  <si>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</si>
  <si>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</si>
  <si>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</si>
  <si>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</si>
  <si>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</si>
  <si>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</si>
  <si>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</si>
  <si>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</si>
  <si>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</si>
  <si>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</si>
  <si>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</si>
  <si>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</si>
  <si>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</si>
  <si>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</si>
  <si>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</si>
  <si>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</si>
  <si>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</si>
  <si>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</si>
  <si>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</si>
  <si>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</si>
  <si>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</si>
  <si>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</si>
  <si>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</si>
  <si>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</si>
  <si>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</si>
  <si>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</si>
  <si>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</si>
  <si>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</si>
  <si>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</si>
  <si>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</si>
  <si>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</si>
  <si>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</si>
  <si>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</si>
  <si>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</si>
  <si>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</si>
  <si>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</si>
  <si>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</si>
  <si>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</si>
  <si>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</si>
  <si>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</si>
  <si>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</si>
  <si>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</si>
  <si>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</si>
  <si>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</si>
  <si>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</si>
  <si>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</si>
  <si>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</si>
  <si>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</si>
  <si>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</si>
  <si>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</si>
  <si>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</si>
  <si>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</si>
  <si>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</si>
  <si>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</si>
  <si>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</si>
  <si>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</si>
  <si>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</si>
  <si>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</si>
  <si>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</si>
  <si>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</si>
  <si>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</si>
  <si>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</si>
  <si>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</si>
  <si>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</si>
  <si>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</si>
  <si>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</si>
  <si>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</si>
  <si>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</si>
  <si>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</si>
  <si>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</si>
  <si>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</si>
  <si>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</si>
  <si>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</si>
  <si>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</si>
  <si>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</si>
  <si>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</si>
  <si>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</si>
  <si>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</si>
  <si>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</si>
  <si>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</si>
  <si>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</si>
  <si>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</si>
  <si>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</si>
  <si>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</si>
  <si>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</si>
  <si>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</si>
  <si>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</si>
  <si>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</si>
  <si>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</si>
  <si>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</si>
  <si>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</si>
  <si>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</si>
  <si>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</si>
  <si>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</si>
  <si>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</si>
  <si>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</si>
  <si>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</si>
  <si>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</si>
  <si>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</si>
  <si>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</si>
  <si>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</si>
  <si>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</si>
  <si>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</si>
  <si>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</si>
  <si>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</si>
  <si>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</si>
  <si>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</si>
  <si>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</si>
  <si>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</si>
  <si>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</si>
  <si>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</si>
  <si>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</si>
  <si>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</si>
  <si>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</si>
  <si>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</si>
  <si>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</si>
  <si>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</si>
  <si>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</si>
  <si>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</si>
  <si>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</si>
  <si>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</si>
  <si>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</si>
  <si>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</si>
  <si>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</si>
  <si>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</si>
  <si>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</si>
  <si>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</si>
  <si>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</si>
  <si>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</si>
  <si>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</si>
  <si>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</si>
  <si>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</si>
  <si>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</si>
  <si>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</si>
  <si>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</si>
  <si>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</si>
  <si>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</si>
  <si>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</si>
  <si>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</si>
  <si>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</si>
  <si>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</si>
  <si>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</si>
  <si>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</si>
  <si>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</si>
  <si>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</si>
  <si>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</si>
  <si>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</si>
  <si>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</si>
  <si>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</si>
  <si>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</si>
  <si>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</si>
  <si>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</si>
  <si>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</si>
  <si>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</si>
  <si>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</si>
  <si>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</si>
  <si>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</si>
  <si>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</si>
  <si>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</si>
  <si>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</si>
  <si>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</si>
  <si>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</si>
  <si>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</si>
  <si>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</si>
  <si>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</si>
  <si>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</si>
  <si>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</si>
  <si>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</si>
  <si>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</si>
  <si>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</si>
  <si>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</si>
  <si>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</si>
  <si>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</si>
  <si>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</si>
  <si>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</si>
  <si>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</si>
  <si>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</si>
  <si>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</si>
  <si>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</si>
  <si>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</si>
  <si>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</si>
  <si>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</si>
  <si>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</si>
  <si>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</si>
  <si>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</si>
  <si>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</si>
  <si>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</si>
  <si>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</si>
  <si>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</si>
  <si>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</si>
  <si>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</si>
  <si>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</si>
  <si>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</si>
  <si>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</si>
  <si>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</si>
  <si>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</si>
  <si>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</si>
  <si>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</si>
  <si>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</si>
  <si>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</si>
  <si>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</si>
  <si>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</si>
  <si>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</si>
  <si>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</si>
  <si>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</si>
  <si>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</si>
  <si>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</si>
  <si>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</si>
  <si>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</si>
  <si>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</si>
  <si>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</si>
  <si>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</si>
  <si>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</si>
  <si>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</si>
  <si>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</si>
  <si>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</si>
  <si>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</si>
  <si>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</si>
  <si>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</si>
  <si>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</si>
  <si>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</si>
  <si>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</si>
  <si>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</si>
  <si>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</si>
  <si>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</si>
  <si>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</si>
  <si>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</si>
  <si>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</si>
  <si>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</si>
  <si>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</si>
  <si>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</si>
  <si>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</si>
  <si>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</si>
  <si>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</si>
  <si>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</si>
  <si>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</si>
  <si>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</si>
  <si>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</si>
  <si>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</si>
  <si>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</si>
  <si>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</si>
  <si>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</si>
  <si>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</si>
  <si>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</si>
  <si>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</si>
  <si>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</si>
  <si>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</si>
  <si>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</si>
  <si>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</si>
  <si>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</si>
  <si>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</si>
  <si>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</si>
  <si>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</si>
  <si>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</si>
  <si>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</si>
  <si>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</si>
  <si>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</si>
  <si>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</si>
  <si>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</si>
  <si>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</si>
  <si>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</si>
  <si>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</si>
  <si>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</si>
  <si>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</si>
  <si>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</si>
  <si>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</si>
  <si>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</si>
  <si>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</si>
  <si>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</si>
  <si>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</si>
  <si>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</si>
  <si>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</si>
  <si>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</si>
  <si>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</si>
  <si>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</si>
  <si>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</si>
  <si>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</si>
  <si>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</si>
  <si>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</si>
  <si>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</si>
  <si>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</si>
  <si>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</si>
  <si>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</si>
  <si>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</si>
  <si>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</si>
  <si>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</si>
  <si>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</si>
  <si>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</si>
  <si>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</si>
  <si>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</si>
  <si>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</si>
  <si>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</si>
  <si>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</si>
  <si>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</si>
  <si>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</si>
  <si>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</si>
  <si>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</si>
  <si>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</si>
  <si>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</si>
  <si>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</si>
  <si>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</si>
  <si>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</si>
  <si>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</si>
  <si>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</si>
  <si>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</si>
  <si>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</si>
  <si>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</si>
  <si>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</si>
  <si>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</si>
  <si>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</si>
  <si>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</si>
  <si>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</si>
  <si>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</si>
  <si>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</si>
  <si>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</si>
  <si>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</si>
  <si>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</si>
  <si>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</si>
  <si>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</si>
  <si>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</si>
  <si>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</si>
  <si>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</si>
  <si>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</si>
  <si>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</si>
  <si>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</si>
  <si>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</si>
  <si>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</si>
  <si>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</si>
  <si>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</si>
  <si>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</si>
  <si>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</si>
  <si>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</si>
  <si>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</si>
  <si>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</si>
  <si>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</si>
  <si>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</si>
  <si>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</si>
  <si>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</si>
  <si>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</si>
  <si>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</si>
  <si>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</si>
  <si>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</si>
  <si>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</si>
  <si>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</si>
  <si>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</si>
  <si>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</si>
  <si>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</si>
  <si>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</si>
  <si>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</si>
  <si>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</si>
  <si>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</si>
  <si>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</si>
  <si>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</si>
  <si>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</si>
  <si>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</si>
  <si>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</si>
  <si>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</si>
  <si>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</si>
  <si>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</si>
  <si>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</si>
  <si>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</si>
  <si>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</si>
  <si>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</si>
  <si>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</si>
  <si>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</si>
  <si>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</si>
  <si>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</si>
  <si>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</si>
  <si>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</si>
  <si>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</si>
  <si>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</si>
  <si>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</si>
  <si>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</si>
  <si>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</si>
  <si>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</si>
  <si>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</si>
  <si>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</si>
  <si>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</si>
  <si>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</si>
  <si>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</si>
  <si>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</si>
  <si>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</si>
  <si>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</si>
  <si>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</si>
  <si>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</si>
  <si>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</si>
  <si>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</si>
  <si>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</si>
  <si>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</si>
  <si>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</si>
  <si>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</si>
  <si>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</si>
  <si>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</si>
  <si>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</si>
  <si>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</si>
  <si>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</si>
  <si>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</si>
  <si>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</si>
  <si>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</si>
  <si>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</si>
  <si>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</si>
  <si>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</si>
  <si>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</si>
  <si>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</si>
  <si>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</si>
  <si>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</si>
  <si>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</si>
  <si>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</si>
  <si>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</si>
  <si>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</si>
  <si>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</si>
  <si>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</si>
  <si>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</si>
  <si>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</si>
  <si>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</si>
  <si>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</si>
  <si>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</si>
  <si>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</si>
  <si>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</si>
  <si>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</si>
  <si>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</si>
  <si>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</si>
  <si>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</si>
  <si>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</si>
  <si>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</si>
  <si>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</si>
  <si>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</si>
  <si>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</si>
  <si>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</si>
  <si>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</si>
  <si>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</si>
  <si>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</si>
  <si>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</si>
  <si>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</si>
  <si>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</si>
  <si>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</si>
  <si>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</si>
  <si>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</si>
  <si>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</si>
  <si>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</si>
  <si>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</si>
  <si>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</si>
  <si>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</si>
  <si>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</si>
  <si>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</si>
  <si>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</si>
  <si>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</si>
  <si>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</si>
  <si>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</si>
  <si>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</si>
  <si>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</si>
  <si>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</si>
  <si>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</si>
  <si>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</si>
  <si>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</si>
  <si>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</si>
  <si>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</si>
  <si>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</si>
  <si>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</si>
  <si>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</si>
  <si>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</si>
  <si>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</si>
  <si>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</si>
  <si>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</si>
  <si>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</si>
  <si>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</si>
  <si>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</si>
  <si>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</si>
  <si>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</si>
  <si>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</si>
  <si>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</si>
  <si>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</si>
  <si>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</si>
  <si>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</si>
  <si>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</si>
  <si>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</si>
  <si>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</si>
  <si>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</si>
  <si>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</si>
  <si>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</si>
  <si>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</si>
  <si>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</si>
  <si>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</si>
  <si>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</si>
  <si>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</si>
  <si>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</si>
  <si>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</si>
  <si>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</si>
  <si>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</si>
  <si>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</si>
  <si>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</si>
  <si>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</si>
  <si>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</si>
  <si>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</si>
  <si>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</si>
  <si>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</si>
  <si>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</si>
  <si>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</si>
  <si>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</si>
  <si>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</si>
  <si>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</si>
  <si>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</si>
  <si>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</si>
  <si>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</si>
  <si>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</si>
  <si>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</si>
  <si>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</si>
  <si>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</si>
  <si>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</si>
  <si>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</si>
  <si>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</si>
  <si>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</si>
  <si>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</si>
  <si>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</si>
  <si>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</si>
  <si>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</si>
  <si>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</si>
  <si>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</si>
  <si>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</si>
  <si>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</si>
  <si>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</si>
  <si>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</si>
  <si>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</si>
  <si>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</si>
  <si>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</si>
  <si>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</si>
  <si>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</si>
  <si>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</si>
  <si>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</si>
  <si>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</si>
  <si>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</si>
  <si>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</si>
  <si>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</si>
  <si>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</si>
  <si>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</si>
  <si>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</si>
  <si>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</si>
  <si>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</si>
  <si>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</si>
  <si>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</si>
  <si>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</si>
  <si>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</si>
  <si>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</si>
  <si>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</si>
  <si>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</si>
  <si>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</si>
  <si>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</si>
  <si>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</si>
  <si>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</si>
  <si>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</si>
  <si>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</si>
  <si>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</si>
  <si>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</si>
  <si>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</si>
  <si>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</si>
  <si>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</si>
  <si>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</si>
  <si>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</si>
  <si>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</si>
  <si>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</si>
  <si>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</si>
  <si>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</si>
  <si>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</si>
  <si>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</si>
  <si>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</si>
  <si>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</si>
  <si>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</si>
  <si>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</si>
  <si>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</si>
  <si>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</si>
  <si>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</si>
  <si>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</si>
  <si>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</si>
  <si>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</si>
  <si>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</si>
  <si>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</si>
  <si>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</si>
  <si>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</si>
  <si>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</si>
  <si>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</si>
  <si>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</si>
  <si>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</si>
  <si>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</si>
  <si>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</si>
  <si>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</si>
  <si>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</si>
  <si>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</si>
  <si>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</si>
  <si>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</si>
  <si>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</si>
  <si>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</si>
  <si>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</si>
  <si>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</si>
  <si>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</si>
  <si>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</si>
  <si>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</si>
  <si>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</si>
  <si>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</si>
  <si>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</si>
  <si>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</si>
  <si>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</si>
  <si>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</si>
  <si>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</si>
  <si>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</si>
  <si>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</si>
  <si>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</si>
  <si>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</si>
  <si>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</si>
  <si>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</si>
  <si>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</si>
  <si>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</si>
  <si>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</si>
  <si>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</si>
  <si>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</si>
  <si>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</si>
  <si>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</si>
  <si>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</si>
  <si>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</si>
  <si>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</si>
  <si>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</si>
  <si>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</si>
  <si>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</si>
  <si>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</si>
  <si>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</si>
  <si>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</si>
  <si>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</si>
  <si>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</si>
  <si>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</si>
  <si>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</si>
  <si>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</si>
  <si>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</si>
  <si>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</si>
  <si>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</si>
  <si>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</si>
  <si>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</si>
  <si>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</si>
  <si>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</si>
  <si>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</si>
  <si>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</si>
  <si>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</si>
  <si>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</si>
  <si>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</si>
  <si>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</si>
  <si>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</si>
  <si>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</si>
  <si>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</si>
  <si>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</si>
  <si>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</si>
  <si>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</si>
  <si>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</si>
  <si>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</si>
  <si>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</si>
  <si>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</si>
  <si>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</si>
  <si>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</si>
  <si>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</si>
  <si>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</si>
  <si>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</si>
  <si>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</si>
  <si>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</si>
  <si>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</si>
  <si>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</si>
  <si>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</si>
  <si>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</si>
  <si>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</si>
  <si>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</si>
  <si>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</si>
  <si>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</si>
  <si>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</si>
  <si>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</si>
  <si>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</si>
  <si>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</si>
  <si>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</si>
  <si>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</si>
  <si>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</si>
  <si>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</si>
  <si>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</si>
  <si>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</si>
  <si>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</si>
  <si>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</si>
  <si>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</si>
  <si>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</si>
  <si>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</si>
  <si>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</si>
  <si>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</si>
  <si>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</si>
  <si>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</si>
  <si>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</si>
  <si>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</si>
  <si>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</si>
  <si>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</si>
  <si>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</si>
  <si>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</si>
  <si>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</si>
  <si>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</si>
  <si>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</si>
  <si>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</si>
  <si>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</si>
  <si>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</si>
  <si>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</si>
  <si>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</si>
  <si>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</si>
  <si>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</si>
  <si>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</si>
  <si>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</si>
  <si>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</si>
  <si>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</si>
  <si>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</si>
  <si>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</si>
  <si>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</si>
  <si>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</si>
  <si>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</si>
  <si>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</si>
  <si>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</si>
  <si>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</si>
  <si>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</si>
  <si>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</si>
  <si>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</si>
  <si>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</si>
  <si>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</si>
  <si>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</si>
  <si>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</si>
  <si>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</si>
  <si>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</si>
  <si>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</si>
  <si>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</si>
  <si>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</si>
  <si>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</si>
  <si>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</si>
  <si>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</si>
  <si>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</si>
  <si>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</si>
  <si>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</si>
  <si>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</si>
  <si>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</si>
  <si>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</si>
  <si>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</si>
  <si>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</si>
  <si>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</si>
  <si>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</si>
  <si>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</si>
  <si>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</si>
  <si>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</si>
  <si>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</si>
  <si>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</si>
  <si>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</si>
  <si>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</si>
  <si>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</si>
  <si>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</si>
  <si>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</si>
  <si>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</si>
  <si>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</si>
  <si>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</si>
  <si>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</si>
  <si>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</si>
  <si>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</si>
  <si>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</si>
  <si>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</si>
  <si>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</si>
  <si>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</si>
  <si>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</si>
  <si>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</si>
  <si>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</si>
  <si>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</si>
  <si>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</si>
  <si>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</si>
  <si>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</si>
  <si>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</si>
  <si>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</si>
  <si>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</si>
  <si>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</si>
  <si>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</si>
  <si>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</si>
  <si>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</si>
  <si>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</si>
  <si>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</si>
  <si>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</si>
  <si>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</si>
  <si>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</si>
  <si>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</si>
  <si>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</si>
  <si>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</si>
  <si>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</si>
  <si>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</si>
  <si>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</si>
  <si>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</si>
  <si>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</si>
  <si>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</si>
  <si>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</si>
  <si>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</si>
  <si>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</si>
  <si>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</si>
  <si>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</si>
  <si>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</si>
  <si>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</si>
  <si>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</si>
  <si>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</si>
  <si>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</si>
  <si>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</si>
  <si>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</si>
  <si>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</si>
  <si>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</si>
  <si>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</si>
  <si>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</si>
  <si>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</si>
  <si>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</si>
  <si>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</si>
  <si>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</si>
  <si>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</si>
  <si>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</si>
  <si>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</si>
  <si>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</si>
  <si>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</si>
  <si>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</si>
  <si>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</si>
  <si>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</si>
  <si>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</si>
  <si>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</si>
  <si>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</si>
  <si>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</si>
  <si>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</si>
  <si>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</si>
  <si>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</si>
  <si>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</si>
  <si>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</si>
  <si>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</si>
  <si>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</si>
  <si>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</si>
  <si>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</si>
  <si>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</si>
  <si>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</si>
  <si>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</si>
  <si>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</si>
  <si>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</si>
  <si>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</si>
  <si>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</si>
  <si>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</si>
  <si>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</si>
  <si>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</si>
  <si>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</si>
  <si>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</si>
  <si>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</si>
  <si>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</si>
  <si>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</si>
  <si>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</si>
  <si>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</si>
  <si>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</si>
  <si>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</si>
  <si>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</si>
  <si>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</si>
  <si>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</si>
  <si>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</si>
  <si>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</si>
  <si>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</si>
  <si>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</si>
  <si>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</si>
  <si>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</si>
  <si>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</si>
  <si>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</si>
  <si>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</si>
  <si>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</si>
  <si>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</si>
  <si>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</si>
  <si>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</si>
  <si>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</si>
  <si>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</si>
  <si>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</si>
  <si>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</si>
  <si>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</si>
  <si>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</si>
  <si>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</si>
  <si>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</si>
  <si>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</si>
  <si>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</si>
  <si>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</si>
  <si>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</si>
  <si>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</si>
  <si>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</si>
  <si>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</si>
  <si>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</si>
  <si>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</si>
  <si>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</si>
  <si>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</si>
  <si>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</si>
  <si>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</si>
  <si>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</si>
  <si>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</si>
  <si>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</si>
  <si>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</si>
  <si>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</si>
  <si>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</si>
  <si>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</si>
  <si>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</si>
  <si>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</si>
  <si>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</si>
  <si>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</si>
  <si>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</si>
  <si>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</si>
  <si>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</si>
  <si>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</si>
  <si>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</si>
  <si>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</si>
  <si>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</si>
  <si>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</si>
  <si>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</si>
  <si>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</si>
  <si>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</si>
  <si>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</si>
  <si>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</si>
  <si>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</si>
  <si>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</si>
  <si>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</si>
  <si>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</si>
  <si>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</si>
  <si>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</si>
  <si>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</si>
  <si>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</si>
  <si>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</si>
  <si>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</si>
  <si>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</si>
  <si>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</si>
  <si>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</si>
  <si>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</si>
  <si>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</si>
  <si>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</si>
  <si>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</si>
  <si>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</si>
  <si>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</si>
  <si>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</si>
  <si>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</si>
  <si>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</si>
  <si>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</si>
  <si>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</si>
  <si>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</si>
  <si>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</si>
  <si>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</si>
  <si>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</si>
  <si>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</si>
  <si>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</si>
  <si>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</si>
  <si>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</si>
  <si>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</si>
  <si>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</si>
  <si>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</si>
  <si>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</si>
  <si>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</si>
  <si>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</si>
  <si>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</si>
  <si>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</si>
  <si>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</si>
  <si>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</si>
  <si>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</si>
  <si>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</si>
  <si>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</si>
  <si>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</si>
  <si>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</si>
  <si>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</si>
  <si>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</si>
  <si>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</si>
  <si>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</si>
  <si>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</si>
  <si>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</si>
  <si>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</si>
  <si>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</si>
  <si>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</si>
  <si>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</si>
  <si>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</si>
  <si>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</si>
  <si>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</si>
  <si>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</si>
  <si>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</si>
  <si>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</si>
  <si>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</si>
  <si>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</si>
  <si>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</si>
  <si>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</si>
  <si>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</si>
  <si>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</si>
  <si>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</si>
  <si>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</si>
  <si>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</si>
  <si>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</si>
  <si>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</si>
  <si>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</si>
  <si>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</si>
  <si>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</si>
  <si>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</si>
  <si>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</si>
  <si>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</si>
  <si>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</si>
  <si>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</si>
  <si>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</si>
  <si>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</si>
  <si>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</si>
  <si>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</si>
  <si>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</si>
  <si>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</si>
  <si>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</si>
  <si>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</si>
  <si>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</si>
  <si>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</si>
  <si>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</si>
  <si>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</si>
  <si>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</si>
  <si>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</si>
  <si>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</si>
  <si>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</si>
  <si>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</si>
  <si>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</si>
  <si>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</si>
  <si>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</si>
  <si>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</si>
  <si>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</si>
  <si>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</si>
  <si>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</si>
  <si>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</si>
  <si>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</si>
  <si>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</si>
  <si>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</si>
  <si>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</si>
  <si>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</si>
  <si>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</si>
  <si>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</si>
  <si>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</si>
  <si>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</si>
  <si>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</si>
  <si>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</si>
  <si>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</si>
  <si>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</si>
  <si>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</si>
  <si>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</si>
  <si>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</si>
  <si>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</si>
  <si>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</si>
  <si>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</si>
  <si>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</si>
  <si>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</si>
  <si>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</si>
  <si>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</si>
  <si>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</si>
  <si>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</si>
  <si>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</si>
  <si>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</si>
  <si>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</si>
  <si>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</si>
  <si>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</si>
  <si>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</si>
  <si>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</si>
  <si>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</si>
  <si>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</si>
  <si>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</si>
  <si>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</si>
  <si>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</si>
  <si>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</si>
  <si>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</si>
  <si>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</si>
  <si>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</si>
  <si>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</si>
  <si>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</si>
  <si>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</si>
  <si>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</si>
  <si>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</si>
  <si>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</si>
  <si>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</si>
  <si>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</si>
  <si>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</si>
  <si>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</si>
  <si>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</si>
  <si>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</si>
  <si>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</si>
  <si>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</si>
  <si>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</si>
  <si>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</si>
  <si>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</si>
  <si>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</si>
  <si>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</si>
  <si>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</si>
  <si>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</si>
  <si>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</si>
  <si>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</si>
  <si>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</si>
  <si>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</si>
  <si>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</si>
  <si>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</si>
  <si>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</si>
  <si>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</si>
  <si>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</si>
  <si>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</si>
  <si>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</si>
  <si>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</si>
  <si>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</si>
  <si>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</si>
  <si>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</si>
  <si>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</si>
  <si>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</si>
  <si>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</si>
  <si>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</si>
  <si>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</si>
  <si>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</si>
  <si>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</si>
  <si>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</si>
  <si>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</si>
  <si>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</si>
  <si>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</si>
  <si>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</si>
  <si>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</si>
  <si>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</si>
  <si>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</si>
  <si>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</si>
  <si>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</si>
  <si>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</si>
  <si>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</si>
  <si>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</si>
  <si>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</si>
  <si>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</si>
  <si>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</si>
  <si>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</si>
  <si>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</si>
  <si>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</si>
  <si>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</si>
  <si>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</si>
  <si>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</si>
  <si>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</si>
  <si>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</si>
  <si>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</si>
  <si>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</si>
  <si>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</si>
  <si>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</si>
  <si>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</si>
  <si>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</si>
  <si>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</si>
  <si>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</si>
  <si>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</si>
  <si>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</si>
  <si>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</si>
  <si>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</si>
  <si>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</si>
  <si>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</si>
  <si>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</si>
  <si>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</si>
  <si>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</si>
  <si>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</si>
  <si>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</si>
  <si>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</si>
  <si>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</si>
  <si>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</si>
  <si>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</si>
  <si>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</si>
  <si>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</si>
  <si>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</si>
  <si>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</si>
  <si>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</si>
  <si>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</si>
  <si>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</si>
  <si>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</si>
  <si>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</si>
  <si>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</si>
  <si>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</si>
  <si>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</si>
  <si>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</si>
  <si>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</si>
  <si>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</si>
  <si>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</si>
  <si>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</si>
  <si>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</si>
  <si>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</si>
  <si>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</si>
  <si>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</si>
  <si>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</si>
  <si>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</si>
  <si>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</si>
  <si>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</si>
  <si>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</si>
  <si>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</si>
  <si>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</si>
  <si>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</si>
  <si>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</si>
  <si>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</si>
  <si>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</si>
  <si>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</si>
  <si>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</si>
  <si>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</si>
  <si>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</si>
  <si>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</si>
  <si>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</si>
  <si>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</si>
  <si>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</si>
  <si>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</si>
  <si>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</si>
  <si>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</si>
  <si>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</si>
  <si>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</si>
  <si>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</si>
  <si>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</si>
  <si>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</si>
  <si>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</si>
  <si>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</si>
  <si>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</si>
  <si>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</si>
  <si>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</si>
  <si>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</si>
  <si>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</si>
  <si>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</si>
  <si>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</si>
  <si>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</si>
  <si>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</si>
  <si>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</si>
  <si>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</si>
  <si>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</si>
  <si>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</si>
  <si>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</si>
  <si>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</si>
  <si>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</si>
  <si>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</si>
  <si>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</si>
  <si>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</si>
  <si>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</si>
  <si>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</si>
  <si>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</si>
  <si>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</si>
  <si>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</si>
  <si>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</si>
  <si>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</si>
  <si>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</si>
  <si>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</si>
  <si>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</si>
  <si>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</si>
  <si>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</si>
  <si>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</si>
  <si>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</si>
  <si>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</si>
  <si>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</si>
  <si>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</si>
  <si>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</si>
  <si>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</si>
  <si>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</si>
  <si>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</si>
  <si>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</si>
  <si>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</si>
  <si>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</si>
  <si>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</si>
  <si>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</si>
  <si>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</si>
  <si>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</si>
  <si>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</si>
  <si>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</si>
  <si>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</si>
  <si>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</si>
  <si>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</si>
  <si>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</si>
  <si>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</si>
  <si>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</si>
  <si>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</si>
  <si>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</si>
  <si>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</si>
  <si>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</si>
  <si>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</si>
  <si>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</si>
  <si>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</si>
  <si>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</si>
  <si>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</si>
  <si>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</si>
  <si>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</si>
  <si>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</si>
  <si>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</si>
  <si>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</si>
  <si>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</si>
  <si>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</si>
  <si>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</si>
  <si>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</si>
  <si>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</si>
  <si>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</si>
  <si>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</si>
  <si>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</si>
  <si>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</si>
  <si>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</si>
  <si>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</si>
  <si>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</si>
  <si>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</si>
  <si>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</si>
  <si>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</si>
  <si>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</si>
  <si>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</si>
  <si>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</si>
  <si>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</si>
  <si>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</si>
  <si>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</si>
  <si>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</si>
  <si>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</si>
  <si>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</si>
  <si>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</si>
  <si>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</si>
  <si>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</si>
  <si>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</si>
  <si>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</si>
  <si>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</si>
  <si>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</si>
  <si>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</si>
  <si>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</si>
  <si>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</si>
  <si>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</si>
  <si>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</si>
  <si>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</si>
  <si>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</si>
  <si>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</si>
  <si>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</si>
  <si>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</si>
  <si>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</si>
  <si>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</si>
  <si>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</si>
  <si>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</si>
  <si>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</si>
  <si>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</si>
  <si>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</si>
  <si>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</si>
  <si>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</si>
  <si>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</si>
  <si>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</si>
  <si>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</si>
  <si>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</si>
  <si>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</si>
  <si>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</si>
  <si>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</si>
  <si>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</si>
  <si>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</si>
  <si>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</si>
  <si>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</si>
  <si>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</si>
  <si>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</si>
  <si>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</si>
  <si>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</si>
  <si>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</si>
  <si>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</si>
  <si>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</si>
  <si>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</si>
  <si>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</si>
  <si>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</si>
  <si>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</si>
  <si>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</si>
  <si>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</si>
  <si>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</si>
  <si>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</si>
  <si>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</si>
  <si>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</si>
  <si>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</si>
  <si>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</si>
  <si>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</si>
  <si>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</si>
  <si>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</si>
  <si>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</si>
  <si>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</si>
  <si>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</si>
  <si>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</si>
  <si>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</si>
  <si>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</si>
  <si>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</si>
  <si>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</si>
  <si>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</si>
  <si>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</si>
  <si>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</si>
  <si>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</si>
  <si>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</si>
  <si>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</si>
  <si>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</si>
  <si>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</si>
  <si>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</si>
  <si>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</si>
  <si>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</si>
  <si>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</si>
  <si>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</si>
  <si>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</si>
  <si>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</si>
  <si>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</si>
  <si>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</si>
  <si>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</si>
  <si>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</si>
  <si>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</si>
  <si>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</si>
  <si>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</si>
  <si>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</si>
  <si>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</si>
  <si>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</si>
  <si>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</si>
  <si>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</si>
  <si>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</si>
  <si>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</si>
  <si>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</si>
  <si>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</si>
  <si>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</si>
  <si>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</si>
  <si>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</si>
  <si>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</si>
  <si>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</si>
  <si>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</si>
  <si>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</si>
  <si>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</si>
  <si>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</si>
  <si>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</si>
  <si>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</si>
  <si>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</si>
  <si>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</si>
  <si>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</si>
  <si>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</si>
  <si>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</si>
  <si>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</si>
  <si>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</si>
  <si>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</si>
  <si>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</si>
  <si>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</si>
  <si>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</si>
  <si>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</si>
  <si>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</si>
  <si>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</si>
  <si>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</si>
  <si>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</si>
  <si>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</si>
  <si>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</si>
  <si>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</si>
  <si>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</si>
  <si>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</si>
  <si>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</si>
  <si>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</si>
  <si>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</si>
  <si>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</si>
  <si>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</si>
  <si>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</si>
  <si>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</si>
  <si>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</si>
  <si>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</si>
  <si>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</si>
  <si>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</si>
  <si>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</si>
  <si>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</si>
  <si>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</si>
  <si>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</si>
  <si>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</si>
  <si>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</si>
  <si>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</si>
  <si>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</si>
  <si>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</si>
  <si>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</si>
  <si>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</si>
  <si>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</si>
  <si>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</si>
  <si>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</si>
  <si>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</si>
  <si>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</si>
  <si>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</si>
  <si>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</si>
  <si>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</si>
  <si>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</si>
  <si>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</si>
  <si>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</si>
  <si>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</si>
  <si>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</si>
  <si>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</si>
  <si>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</si>
  <si>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</si>
  <si>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</si>
  <si>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</si>
  <si>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</si>
  <si>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</si>
  <si>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</si>
  <si>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</si>
  <si>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</si>
  <si>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</si>
  <si>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</si>
  <si>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</si>
  <si>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</si>
  <si>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</si>
  <si>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</si>
  <si>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</si>
  <si>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</si>
  <si>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</si>
  <si>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</si>
  <si>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</si>
  <si>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</si>
  <si>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</si>
  <si>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</si>
  <si>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</si>
  <si>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</si>
  <si>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</si>
  <si>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</si>
  <si>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</si>
  <si>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</si>
  <si>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</si>
  <si>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</si>
  <si>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</si>
  <si>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</si>
  <si>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</si>
  <si>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</si>
  <si>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</si>
  <si>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</si>
  <si>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</si>
  <si>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</si>
  <si>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</si>
  <si>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</si>
  <si>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</si>
  <si>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</si>
  <si>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</si>
  <si>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</si>
  <si>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</si>
  <si>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</si>
  <si>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</si>
  <si>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</si>
  <si>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</si>
  <si>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</si>
  <si>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</si>
  <si>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</si>
  <si>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</si>
  <si>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</si>
  <si>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</si>
  <si>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</si>
  <si>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</si>
  <si>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</si>
  <si>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</si>
  <si>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</si>
  <si>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</si>
  <si>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</si>
  <si>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</si>
  <si>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</si>
  <si>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</si>
  <si>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</si>
  <si>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</si>
  <si>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</si>
  <si>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</si>
  <si>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</si>
  <si>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</si>
  <si>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</si>
  <si>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</si>
  <si>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</si>
  <si>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</si>
  <si>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</si>
  <si>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</si>
  <si>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</si>
  <si>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</si>
  <si>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</si>
  <si>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</si>
  <si>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</si>
  <si>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</si>
  <si>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</si>
  <si>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</si>
  <si>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</si>
  <si>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</si>
  <si>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</si>
  <si>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</si>
  <si>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</si>
  <si>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</si>
  <si>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</si>
  <si>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</si>
  <si>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</si>
  <si>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</si>
  <si>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</si>
  <si>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</si>
  <si>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</si>
  <si>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</si>
  <si>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</si>
  <si>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</si>
  <si>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</si>
  <si>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</si>
  <si>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</si>
  <si>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</si>
  <si>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</si>
  <si>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</si>
  <si>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</si>
  <si>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</si>
  <si>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</si>
  <si>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</si>
  <si>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</si>
  <si>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</si>
  <si>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</si>
  <si>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</si>
  <si>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</si>
  <si>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</si>
  <si>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</si>
  <si>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</si>
  <si>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</si>
  <si>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</si>
  <si>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</si>
  <si>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</si>
  <si>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</si>
  <si>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</si>
  <si>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</si>
  <si>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</si>
  <si>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</si>
  <si>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</si>
  <si>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</si>
  <si>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</si>
  <si>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</si>
  <si>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</si>
  <si>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</si>
  <si>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</si>
  <si>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</si>
  <si>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</si>
  <si>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</si>
  <si>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</si>
  <si>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</si>
  <si>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</si>
  <si>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</si>
  <si>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</si>
  <si>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</si>
  <si>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</si>
  <si>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</si>
  <si>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</si>
  <si>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</si>
  <si>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</si>
  <si>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</si>
  <si>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</si>
  <si>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</si>
  <si>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</si>
  <si>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</si>
  <si>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</si>
  <si>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</si>
  <si>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</si>
  <si>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</si>
  <si>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</si>
  <si>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</si>
  <si>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</si>
  <si>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</si>
  <si>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</si>
  <si>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</si>
  <si>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</si>
  <si>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</si>
  <si>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</si>
  <si>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</si>
  <si>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</si>
  <si>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</si>
  <si>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</si>
  <si>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</si>
  <si>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</si>
  <si>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</si>
  <si>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</si>
  <si>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</si>
  <si>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</si>
  <si>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</si>
  <si>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</si>
  <si>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</si>
  <si>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</si>
  <si>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</si>
  <si>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</si>
  <si>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</si>
  <si>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</si>
  <si>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</si>
  <si>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</si>
  <si>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</si>
  <si>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</si>
  <si>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</si>
  <si>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</si>
  <si>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</si>
  <si>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</si>
  <si>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</si>
  <si>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</si>
  <si>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</si>
  <si>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</si>
  <si>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</si>
  <si>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</si>
  <si>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</si>
  <si>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</si>
  <si>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</si>
  <si>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</si>
  <si>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</si>
  <si>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</si>
  <si>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</si>
  <si>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</si>
  <si>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</si>
  <si>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</si>
  <si>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</si>
  <si>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</si>
  <si>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</si>
  <si>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</si>
  <si>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</si>
  <si>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</si>
  <si>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</si>
  <si>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</si>
  <si>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</si>
  <si>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</si>
  <si>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</si>
  <si>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</si>
  <si>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</si>
  <si>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</si>
  <si>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</si>
  <si>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</si>
  <si>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</si>
  <si>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</si>
  <si>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</si>
  <si>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</si>
  <si>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</si>
  <si>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</si>
  <si>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</si>
  <si>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</si>
  <si>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</si>
  <si>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</si>
  <si>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</si>
  <si>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</si>
  <si>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</si>
  <si>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</si>
  <si>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</si>
  <si>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</si>
  <si>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</si>
  <si>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</si>
  <si>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</si>
  <si>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</si>
  <si>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</si>
  <si>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</si>
  <si>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</si>
  <si>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</si>
  <si>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</si>
  <si>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</si>
  <si>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</si>
  <si>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</si>
  <si>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</si>
  <si>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</si>
  <si>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</si>
  <si>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</si>
  <si>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</si>
  <si>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</si>
  <si>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</si>
  <si>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</si>
  <si>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</si>
  <si>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</si>
  <si>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</si>
  <si>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</si>
  <si>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</si>
  <si>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</si>
  <si>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</si>
  <si>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</si>
  <si>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</si>
  <si>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</si>
  <si>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</si>
  <si>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</si>
  <si>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</si>
  <si>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</si>
  <si>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</si>
  <si>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</si>
  <si>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</si>
  <si>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</si>
  <si>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</si>
  <si>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</si>
  <si>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</si>
  <si>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</si>
  <si>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</si>
  <si>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</si>
  <si>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</si>
  <si>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</si>
  <si>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</si>
  <si>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</si>
  <si>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</si>
  <si>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</si>
  <si>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</si>
  <si>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</si>
  <si>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</si>
  <si>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</si>
  <si>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</si>
  <si>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</si>
  <si>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</si>
  <si>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</si>
  <si>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</si>
  <si>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</si>
  <si>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</si>
  <si>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</si>
  <si>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</si>
  <si>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</si>
  <si>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</si>
  <si>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</si>
  <si>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</si>
  <si>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</si>
  <si>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</si>
  <si>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</si>
  <si>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</si>
  <si>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</si>
  <si>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</si>
  <si>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</si>
  <si>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</si>
  <si>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</si>
  <si>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</si>
  <si>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</si>
  <si>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</si>
  <si>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</si>
  <si>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</si>
  <si>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</si>
  <si>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</si>
  <si>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</si>
  <si>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</si>
  <si>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</si>
  <si>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</si>
  <si>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</si>
  <si>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</si>
  <si>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</si>
  <si>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</si>
  <si>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</si>
  <si>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</si>
  <si>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</si>
  <si>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</si>
  <si>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</si>
  <si>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</si>
  <si>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</si>
  <si>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</si>
  <si>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</si>
  <si>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</si>
  <si>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</si>
  <si>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</si>
  <si>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</si>
  <si>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</si>
  <si>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</si>
  <si>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</si>
  <si>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</si>
  <si>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</si>
  <si>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</si>
  <si>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</si>
  <si>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</si>
  <si>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</si>
  <si>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</si>
  <si>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</si>
  <si>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</si>
  <si>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</si>
  <si>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</si>
  <si>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</si>
  <si>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</si>
  <si>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</si>
  <si>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</si>
  <si>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</si>
  <si>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</si>
  <si>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</si>
  <si>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</si>
  <si>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</si>
  <si>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</si>
  <si>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</si>
  <si>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</si>
  <si>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</si>
  <si>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</si>
  <si>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</si>
  <si>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</si>
  <si>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</si>
  <si>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</si>
  <si>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</si>
  <si>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</si>
  <si>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</si>
  <si>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</si>
  <si>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</si>
  <si>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</si>
  <si>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</si>
  <si>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</si>
  <si>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</si>
  <si>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</si>
  <si>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</si>
  <si>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</si>
  <si>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</si>
  <si>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</si>
  <si>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</si>
  <si>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</si>
  <si>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</si>
  <si>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</si>
  <si>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</si>
  <si>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</si>
  <si>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</si>
  <si>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</si>
  <si>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</si>
  <si>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</si>
  <si>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</si>
  <si>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</si>
  <si>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</si>
  <si>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</si>
  <si>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</si>
  <si>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</si>
  <si>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</si>
  <si>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</si>
  <si>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</si>
  <si>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</si>
  <si>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</si>
  <si>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</si>
  <si>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</si>
  <si>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</si>
  <si>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</si>
  <si>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</si>
  <si>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</si>
  <si>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</si>
  <si>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</si>
  <si>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</si>
  <si>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</si>
  <si>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</si>
  <si>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</si>
  <si>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</si>
  <si>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</si>
  <si>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</si>
  <si>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</si>
  <si>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</si>
  <si>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</si>
  <si>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</si>
  <si>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</si>
  <si>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</si>
  <si>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</si>
  <si>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</si>
  <si>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</si>
  <si>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</si>
  <si>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</si>
  <si>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</si>
  <si>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</si>
  <si>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</si>
  <si>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</si>
  <si>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</si>
  <si>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</si>
  <si>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</si>
  <si>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</si>
  <si>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</si>
  <si>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</si>
  <si>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</si>
  <si>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</si>
  <si>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</si>
  <si>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</si>
  <si>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</si>
  <si>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</si>
  <si>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</si>
  <si>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</si>
  <si>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</si>
  <si>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</si>
  <si>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</si>
  <si>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</si>
  <si>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</si>
  <si>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</si>
  <si>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</si>
  <si>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</si>
  <si>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</si>
  <si>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</si>
  <si>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</si>
  <si>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</si>
  <si>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</si>
  <si>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</si>
  <si>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</si>
  <si>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</si>
  <si>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</si>
  <si>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</si>
  <si>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</si>
  <si>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</si>
  <si>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</si>
  <si>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</si>
  <si>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</si>
  <si>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</si>
  <si>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</si>
  <si>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</si>
  <si>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</si>
  <si>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</si>
  <si>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</si>
  <si>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</si>
  <si>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</si>
  <si>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</si>
  <si>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</si>
  <si>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</si>
  <si>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</si>
  <si>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</si>
  <si>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</si>
  <si>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</si>
  <si>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</si>
  <si>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</si>
  <si>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</si>
  <si>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</si>
  <si>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</si>
  <si>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</si>
  <si>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</si>
  <si>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</si>
  <si>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</si>
  <si>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</si>
  <si>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</si>
  <si>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</si>
  <si>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</si>
  <si>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</si>
  <si>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</si>
  <si>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</si>
  <si>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</si>
  <si>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</si>
  <si>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</si>
  <si>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</si>
  <si>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</si>
  <si>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</si>
  <si>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</si>
  <si>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</si>
  <si>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</si>
  <si>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</si>
  <si>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</si>
  <si>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</si>
  <si>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</si>
  <si>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</si>
  <si>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</si>
  <si>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</si>
  <si>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</si>
  <si>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</si>
  <si>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</si>
  <si>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</si>
  <si>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</si>
  <si>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</si>
  <si>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</si>
  <si>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</si>
  <si>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</si>
  <si>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</si>
  <si>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</si>
  <si>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</si>
  <si>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</si>
  <si>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</si>
  <si>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</si>
  <si>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</si>
  <si>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</si>
  <si>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</si>
  <si>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</si>
  <si>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</si>
  <si>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</si>
  <si>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</si>
  <si>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</si>
  <si>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</si>
  <si>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</si>
  <si>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</si>
  <si>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</si>
  <si>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</si>
  <si>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</si>
  <si>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</si>
  <si>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</si>
  <si>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</si>
  <si>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</si>
  <si>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</si>
  <si>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</si>
  <si>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</si>
  <si>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</si>
  <si>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</si>
  <si>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</si>
  <si>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</si>
  <si>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</si>
  <si>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</si>
  <si>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</si>
  <si>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</si>
  <si>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</si>
  <si>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</si>
  <si>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</si>
  <si>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</si>
  <si>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</si>
  <si>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</si>
  <si>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</si>
  <si>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</si>
  <si>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</si>
  <si>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</si>
  <si>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</si>
  <si>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</si>
  <si>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</si>
  <si>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</si>
  <si>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</si>
  <si>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</si>
  <si>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</si>
  <si>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</si>
  <si>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</si>
  <si>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</si>
  <si>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</si>
  <si>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</si>
  <si>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</si>
  <si>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</si>
  <si>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</si>
  <si>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</si>
  <si>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</si>
  <si>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</si>
  <si>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</si>
  <si>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</si>
  <si>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</si>
  <si>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</si>
  <si>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</si>
  <si>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</si>
  <si>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</si>
  <si>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</si>
  <si>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</si>
  <si>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</si>
  <si>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</si>
  <si>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</si>
  <si>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</si>
  <si>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</si>
  <si>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</si>
  <si>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</si>
  <si>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</si>
  <si>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</si>
  <si>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</si>
  <si>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</si>
  <si>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</si>
  <si>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</si>
  <si>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</si>
  <si>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</si>
  <si>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</si>
  <si>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</si>
  <si>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</si>
  <si>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</si>
  <si>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</si>
  <si>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</si>
  <si>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</si>
  <si>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</si>
  <si>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</si>
  <si>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</si>
  <si>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</si>
  <si>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</si>
  <si>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</si>
  <si>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</si>
  <si>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</si>
  <si>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</si>
  <si>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</si>
  <si>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</si>
  <si>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</si>
  <si>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</si>
  <si>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</si>
  <si>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</si>
  <si>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</si>
  <si>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</si>
  <si>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</si>
  <si>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</si>
  <si>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</si>
  <si>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</si>
  <si>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</si>
  <si>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</si>
  <si>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</si>
  <si>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</si>
  <si>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</si>
  <si>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</si>
  <si>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</si>
  <si>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</si>
  <si>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</si>
  <si>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</si>
  <si>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</si>
  <si>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</si>
  <si>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</si>
  <si>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</si>
  <si>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</si>
  <si>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</si>
  <si>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</si>
  <si>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</si>
  <si>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</si>
  <si>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</si>
  <si>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</si>
  <si>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</si>
  <si>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</si>
  <si>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</si>
  <si>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</si>
  <si>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</si>
  <si>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</si>
  <si>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</si>
  <si>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</si>
  <si>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</si>
  <si>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</si>
  <si>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</si>
  <si>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</si>
  <si>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</si>
  <si>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</si>
  <si>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</si>
  <si>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</si>
  <si>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</si>
  <si>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</si>
  <si>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</si>
  <si>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</si>
  <si>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</si>
  <si>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</si>
  <si>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</si>
  <si>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</si>
  <si>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</si>
  <si>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</si>
  <si>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</si>
  <si>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</si>
  <si>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</si>
  <si>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</si>
  <si>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</si>
  <si>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</si>
  <si>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</si>
  <si>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</si>
  <si>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</si>
  <si>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</si>
  <si>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</si>
  <si>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</si>
  <si>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</si>
  <si>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</si>
  <si>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</si>
  <si>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</si>
  <si>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</si>
  <si>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</si>
  <si>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</si>
  <si>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</si>
  <si>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</si>
  <si>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</si>
  <si>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</si>
  <si>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</si>
  <si>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</si>
  <si>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</si>
  <si>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</si>
  <si>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</si>
  <si>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</si>
  <si>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</si>
  <si>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</si>
  <si>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</si>
  <si>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</si>
  <si>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</si>
  <si>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</si>
  <si>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</si>
  <si>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</si>
  <si>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</si>
  <si>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</si>
  <si>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</si>
  <si>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</si>
  <si>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</si>
  <si>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</si>
  <si>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</si>
  <si>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</si>
  <si>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</si>
  <si>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</si>
  <si>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</si>
  <si>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</si>
  <si>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</si>
  <si>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</si>
  <si>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</si>
  <si>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</si>
  <si>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</si>
  <si>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</si>
  <si>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</si>
  <si>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</si>
  <si>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</si>
  <si>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</si>
  <si>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</si>
  <si>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</si>
  <si>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</si>
  <si>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</si>
  <si>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</si>
  <si>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</si>
  <si>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</si>
  <si>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</si>
  <si>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</si>
  <si>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</si>
  <si>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</si>
  <si>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</si>
  <si>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</si>
  <si>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</si>
  <si>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</si>
  <si>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</si>
  <si>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</si>
  <si>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</si>
  <si>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</si>
  <si>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</si>
  <si>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</si>
  <si>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</si>
  <si>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</si>
  <si>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</si>
  <si>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</si>
  <si>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</si>
  <si>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</si>
  <si>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</si>
  <si>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</si>
  <si>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</si>
  <si>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</si>
  <si>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</si>
  <si>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</si>
  <si>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</si>
  <si>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</si>
  <si>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</si>
  <si>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</si>
  <si>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</si>
  <si>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</si>
  <si>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</si>
  <si>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</si>
  <si>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</si>
  <si>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</si>
  <si>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</si>
  <si>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</si>
  <si>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</si>
  <si>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</si>
  <si>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</si>
  <si>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</si>
  <si>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</si>
  <si>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</si>
  <si>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</si>
  <si>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</si>
  <si>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</si>
  <si>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</si>
  <si>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</si>
  <si>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</si>
  <si>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</si>
  <si>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</si>
  <si>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</si>
  <si>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</si>
  <si>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</si>
  <si>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</si>
  <si>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</si>
  <si>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</si>
  <si>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</si>
  <si>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</si>
  <si>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</si>
  <si>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</si>
  <si>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</si>
  <si>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</si>
  <si>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</si>
  <si>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</si>
  <si>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</si>
  <si>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</si>
  <si>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</si>
  <si>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</si>
  <si>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</si>
  <si>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</si>
  <si>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</si>
  <si>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</si>
  <si>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</si>
  <si>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</si>
  <si>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</si>
  <si>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</si>
  <si>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</si>
  <si>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</si>
  <si>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</si>
  <si>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</si>
  <si>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</si>
  <si>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</si>
  <si>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</si>
  <si>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</si>
  <si>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</si>
  <si>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</si>
  <si>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</si>
  <si>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</si>
  <si>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</si>
  <si>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</si>
  <si>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</si>
  <si>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</si>
  <si>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</si>
  <si>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</si>
  <si>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</si>
  <si>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</si>
  <si>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</si>
  <si>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</si>
  <si>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</si>
  <si>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</si>
  <si>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</si>
  <si>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</si>
  <si>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</si>
  <si>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</si>
  <si>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</si>
  <si>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</si>
  <si>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</si>
  <si>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</si>
  <si>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</si>
  <si>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</si>
  <si>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</si>
  <si>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</si>
  <si>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</si>
  <si>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</si>
  <si>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</si>
  <si>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</si>
  <si>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</si>
  <si>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</si>
  <si>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</si>
  <si>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</si>
  <si>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</si>
  <si>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</si>
  <si>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</si>
  <si>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</si>
  <si>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</si>
  <si>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</si>
  <si>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</si>
  <si>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</si>
  <si>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</si>
  <si>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</si>
  <si>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</si>
  <si>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</si>
  <si>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</si>
  <si>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</si>
  <si>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</si>
  <si>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</si>
  <si>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</si>
  <si>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</si>
  <si>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</si>
  <si>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</si>
  <si>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</si>
  <si>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</si>
  <si>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</si>
  <si>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</si>
  <si>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</si>
  <si>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</si>
  <si>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</si>
  <si>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</si>
  <si>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</si>
  <si>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</si>
  <si>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</si>
  <si>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</si>
  <si>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</si>
  <si>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</si>
  <si>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</si>
  <si>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</si>
  <si>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</si>
  <si>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</si>
  <si>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</si>
  <si>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</si>
  <si>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</si>
  <si>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</si>
  <si>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</si>
  <si>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</si>
  <si>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</si>
  <si>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</si>
  <si>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</si>
  <si>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</si>
  <si>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</si>
  <si>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</si>
  <si>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</si>
  <si>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</si>
  <si>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</si>
  <si>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</si>
  <si>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</si>
  <si>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</si>
  <si>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</si>
  <si>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</si>
  <si>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</si>
  <si>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</si>
  <si>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</si>
  <si>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</si>
  <si>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</si>
  <si>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</si>
  <si>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</si>
  <si>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</si>
  <si>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</si>
  <si>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</si>
  <si>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</si>
  <si>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</si>
  <si>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</si>
  <si>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</si>
  <si>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</si>
  <si>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</si>
  <si>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</si>
  <si>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</si>
  <si>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</si>
  <si>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</si>
  <si>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</si>
  <si>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</si>
  <si>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</si>
  <si>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</si>
  <si>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</si>
  <si>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</si>
  <si>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</si>
  <si>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</si>
  <si>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</si>
  <si>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</si>
  <si>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</si>
  <si>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</si>
  <si>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</si>
  <si>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</si>
  <si>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</si>
  <si>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</si>
  <si>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</si>
  <si>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</si>
  <si>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</si>
  <si>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</si>
  <si>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</si>
  <si>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</si>
  <si>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</si>
  <si>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</si>
  <si>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</si>
  <si>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</si>
  <si>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</si>
  <si>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</si>
  <si>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</si>
  <si>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</si>
  <si>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</si>
  <si>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</si>
  <si>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</si>
  <si>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</si>
  <si>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</si>
  <si>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</si>
  <si>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</si>
  <si>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</si>
  <si>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</si>
  <si>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</si>
  <si>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</si>
  <si>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</si>
  <si>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</si>
  <si>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</si>
  <si>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</si>
  <si>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</si>
  <si>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</si>
  <si>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</si>
  <si>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</si>
  <si>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</si>
  <si>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</si>
  <si>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</si>
  <si>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</si>
  <si>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</si>
  <si>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</si>
  <si>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</si>
  <si>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</si>
  <si>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</si>
  <si>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</si>
  <si>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</si>
  <si>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</si>
  <si>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</si>
  <si>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</si>
  <si>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</si>
  <si>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</si>
  <si>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</si>
  <si>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</si>
  <si>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</si>
  <si>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</si>
  <si>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</si>
  <si>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</si>
  <si>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</si>
  <si>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</si>
  <si>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</si>
  <si>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</si>
  <si>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</si>
  <si>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</si>
  <si>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</si>
  <si>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</si>
  <si>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</si>
  <si>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</si>
  <si>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</si>
  <si>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</si>
  <si>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</si>
  <si>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</si>
  <si>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</si>
  <si>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</si>
  <si>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</si>
  <si>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</si>
  <si>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</si>
  <si>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</si>
  <si>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</si>
  <si>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</si>
  <si>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</si>
  <si>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</si>
  <si>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</si>
  <si>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</si>
  <si>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</si>
  <si>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</si>
  <si>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</si>
  <si>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</si>
  <si>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</si>
  <si>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</si>
  <si>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</si>
  <si>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</si>
  <si>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</si>
  <si>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</si>
  <si>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</si>
  <si>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</si>
  <si>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</si>
  <si>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</si>
  <si>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</si>
  <si>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</si>
  <si>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</si>
  <si>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</si>
  <si>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</si>
  <si>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</si>
  <si>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</si>
  <si>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</si>
  <si>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</si>
  <si>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</si>
  <si>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</si>
  <si>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</si>
  <si>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</si>
  <si>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</si>
  <si>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</si>
  <si>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</si>
  <si>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</si>
  <si>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</si>
  <si>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</si>
  <si>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</si>
  <si>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</si>
  <si>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</si>
  <si>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</si>
  <si>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</si>
  <si>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</si>
  <si>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</si>
  <si>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</si>
  <si>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</si>
  <si>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</si>
  <si>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</si>
  <si>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</si>
  <si>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</si>
  <si>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</si>
  <si>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</si>
  <si>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</si>
  <si>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</si>
  <si>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</si>
  <si>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</si>
  <si>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</si>
  <si>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</si>
  <si>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</si>
  <si>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</si>
  <si>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</si>
  <si>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</si>
  <si>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</si>
  <si>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</si>
  <si>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</si>
  <si>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</si>
  <si>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</si>
  <si>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</si>
  <si>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</si>
  <si>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</si>
  <si>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</si>
  <si>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</si>
  <si>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</si>
  <si>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</si>
  <si>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</si>
  <si>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</si>
  <si>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</si>
  <si>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</si>
  <si>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</si>
  <si>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</si>
  <si>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</si>
  <si>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</si>
  <si>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</si>
  <si>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</si>
  <si>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</si>
  <si>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</si>
  <si>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</si>
  <si>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</si>
  <si>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</si>
  <si>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</si>
  <si>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</si>
  <si>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</si>
  <si>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</si>
  <si>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</si>
  <si>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</si>
  <si>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</si>
  <si>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</si>
  <si>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</si>
  <si>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</si>
  <si>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</si>
  <si>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</si>
  <si>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</si>
  <si>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</si>
  <si>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</si>
  <si>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</si>
  <si>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</si>
  <si>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</si>
  <si>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</si>
  <si>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</si>
  <si>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</si>
  <si>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</si>
  <si>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</si>
  <si>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</si>
  <si>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</si>
  <si>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</si>
  <si>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</si>
  <si>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</si>
  <si>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</si>
  <si>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</si>
  <si>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</si>
  <si>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</si>
  <si>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</si>
  <si>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</si>
  <si>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</si>
  <si>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</si>
  <si>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</si>
  <si>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</si>
  <si>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</si>
  <si>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</si>
  <si>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</si>
  <si>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</si>
  <si>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</si>
  <si>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</si>
  <si>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</si>
  <si>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</si>
  <si>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</si>
  <si>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</si>
  <si>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</si>
  <si>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</si>
  <si>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</si>
  <si>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</si>
  <si>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</si>
  <si>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</si>
  <si>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</si>
  <si>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</si>
  <si>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</si>
  <si>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</si>
  <si>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</si>
  <si>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</si>
  <si>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</si>
  <si>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</si>
  <si>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</si>
  <si>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</si>
  <si>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</si>
  <si>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</si>
  <si>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</si>
  <si>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</si>
  <si>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</si>
  <si>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</si>
  <si>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</si>
  <si>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</si>
  <si>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</si>
  <si>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</si>
  <si>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</si>
  <si>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</si>
  <si>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</si>
  <si>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</si>
  <si>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</si>
  <si>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</si>
  <si>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</si>
  <si>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</si>
  <si>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</si>
  <si>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</si>
  <si>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</si>
  <si>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</si>
  <si>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</si>
  <si>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</si>
  <si>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</si>
  <si>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</si>
  <si>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</si>
  <si>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</si>
  <si>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</si>
  <si>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</si>
  <si>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</si>
  <si>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</si>
  <si>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</si>
  <si>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</si>
  <si>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</si>
  <si>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</si>
  <si>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</si>
  <si>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</si>
  <si>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</si>
  <si>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</si>
  <si>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</si>
  <si>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</si>
  <si>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</si>
  <si>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</si>
  <si>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</si>
  <si>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</si>
  <si>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</si>
  <si>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</si>
  <si>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</si>
  <si>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</si>
  <si>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</si>
  <si>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</si>
  <si>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</si>
  <si>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</si>
  <si>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</si>
  <si>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</si>
  <si>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</si>
  <si>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</si>
  <si>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</si>
  <si>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</si>
  <si>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</si>
  <si>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</si>
  <si>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</si>
  <si>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</si>
  <si>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</si>
  <si>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</si>
  <si>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</si>
  <si>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</si>
  <si>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</si>
  <si>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</si>
  <si>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</si>
  <si>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</si>
  <si>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</si>
  <si>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</si>
  <si>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</si>
  <si>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</si>
  <si>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</si>
  <si>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</si>
  <si>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</si>
  <si>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</si>
  <si>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</si>
  <si>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</si>
  <si>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</si>
  <si>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</si>
  <si>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</si>
  <si>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</si>
  <si>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</si>
  <si>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</si>
  <si>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</si>
  <si>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</si>
  <si>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</si>
  <si>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</si>
  <si>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</si>
  <si>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</si>
  <si>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</si>
  <si>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</si>
  <si>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</si>
  <si>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</si>
  <si>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</si>
  <si>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</si>
  <si>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</si>
  <si>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</si>
  <si>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</si>
  <si>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</si>
  <si>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</si>
  <si>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</si>
  <si>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</si>
  <si>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</si>
  <si>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</si>
  <si>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</si>
  <si>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</si>
  <si>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</si>
  <si>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</si>
  <si>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</si>
  <si>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</si>
  <si>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</si>
  <si>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</si>
  <si>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</si>
  <si>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</si>
  <si>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</si>
  <si>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</si>
  <si>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</si>
  <si>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</si>
  <si>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</si>
  <si>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</si>
  <si>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</si>
  <si>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</si>
  <si>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</si>
  <si>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</si>
  <si>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</si>
  <si>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</si>
  <si>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</si>
  <si>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</si>
  <si>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</si>
  <si>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</si>
  <si>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</si>
  <si>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</si>
  <si>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</si>
  <si>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</si>
  <si>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</si>
  <si>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</si>
  <si>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</si>
  <si>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</si>
  <si>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</si>
  <si>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</si>
  <si>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</si>
  <si>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</si>
  <si>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</si>
  <si>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</si>
  <si>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</si>
  <si>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</si>
  <si>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</si>
  <si>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</si>
  <si>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</si>
  <si>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</si>
  <si>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</si>
  <si>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</si>
  <si>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</si>
  <si>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</si>
  <si>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</si>
  <si>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</si>
  <si>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</si>
  <si>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</si>
  <si>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</si>
  <si>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</si>
  <si>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</si>
  <si>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</si>
  <si>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</si>
  <si>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</si>
  <si>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</si>
  <si>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</si>
  <si>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</si>
  <si>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</si>
  <si>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</si>
  <si>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</si>
  <si>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</si>
  <si>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</si>
  <si>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</si>
  <si>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</si>
  <si>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</si>
  <si>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</si>
  <si>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</si>
  <si>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</si>
  <si>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</si>
  <si>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</si>
  <si>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</si>
  <si>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</si>
  <si>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</si>
  <si>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</si>
  <si>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</si>
  <si>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</si>
  <si>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</si>
  <si>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</si>
  <si>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</si>
  <si>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</si>
  <si>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</si>
  <si>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</si>
  <si>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</si>
  <si>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</si>
  <si>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</si>
  <si>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</si>
  <si>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</si>
  <si>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</si>
  <si>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</si>
  <si>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</si>
  <si>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</si>
  <si>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</si>
  <si>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</si>
  <si>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</si>
  <si>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</si>
  <si>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</si>
  <si>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</si>
  <si>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</si>
  <si>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</si>
  <si>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</si>
  <si>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</si>
  <si>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</si>
  <si>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</si>
  <si>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</si>
  <si>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</si>
  <si>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</si>
  <si>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</si>
  <si>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</si>
  <si>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</si>
  <si>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</si>
  <si>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</si>
  <si>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</si>
  <si>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</si>
  <si>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</si>
  <si>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</si>
  <si>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</si>
  <si>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</si>
  <si>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</si>
  <si>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</si>
  <si>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</si>
  <si>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</si>
  <si>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</si>
  <si>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</si>
  <si>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</si>
  <si>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</si>
  <si>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</si>
  <si>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</si>
  <si>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</si>
  <si>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</si>
  <si>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</si>
  <si>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</si>
  <si>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</si>
  <si>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</si>
  <si>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</si>
  <si>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</si>
  <si>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</si>
  <si>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</si>
  <si>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</si>
  <si>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</si>
  <si>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</si>
  <si>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</si>
  <si>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</si>
  <si>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</si>
  <si>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</si>
  <si>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</si>
  <si>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</si>
  <si>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</si>
  <si>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</si>
  <si>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</si>
  <si>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</si>
  <si>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</si>
  <si>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</si>
  <si>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</si>
  <si>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</si>
  <si>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</si>
  <si>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</si>
  <si>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</si>
  <si>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</si>
  <si>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</si>
  <si>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</si>
  <si>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</si>
  <si>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</si>
  <si>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</si>
  <si>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</si>
  <si>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</si>
  <si>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</si>
  <si>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</si>
  <si>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</si>
  <si>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</si>
  <si>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</si>
  <si>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</si>
  <si>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</si>
  <si>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</si>
  <si>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</si>
  <si>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</si>
  <si>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</si>
  <si>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</si>
  <si>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</si>
  <si>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</si>
  <si>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</si>
  <si>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</si>
  <si>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</si>
  <si>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</si>
  <si>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</si>
  <si>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</si>
  <si>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</si>
  <si>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</si>
  <si>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</si>
  <si>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</si>
  <si>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</si>
  <si>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</si>
  <si>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</si>
  <si>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</si>
  <si>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</si>
  <si>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</si>
  <si>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</si>
  <si>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</si>
  <si>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</si>
  <si>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</si>
  <si>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</si>
  <si>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</si>
  <si>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</si>
  <si>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</si>
  <si>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</si>
  <si>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</si>
  <si>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</si>
  <si>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</si>
  <si>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</si>
  <si>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</si>
  <si>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</si>
  <si>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</si>
  <si>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</si>
  <si>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</si>
  <si>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</si>
  <si>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</si>
  <si>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</si>
  <si>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</si>
  <si>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</si>
  <si>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</si>
  <si>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</si>
  <si>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</si>
  <si>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</si>
  <si>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</si>
  <si>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</si>
  <si>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</si>
  <si>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</si>
  <si>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</si>
  <si>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</si>
  <si>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</si>
  <si>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</si>
  <si>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</si>
  <si>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</si>
  <si>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</si>
  <si>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</si>
  <si>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</si>
  <si>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</si>
  <si>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</si>
  <si>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</si>
  <si>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</si>
  <si>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</si>
  <si>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</si>
  <si>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</si>
  <si>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</si>
  <si>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</si>
  <si>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</si>
  <si>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</si>
  <si>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</si>
  <si>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</si>
  <si>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</si>
  <si>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</si>
  <si>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</si>
  <si>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</si>
  <si>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</si>
  <si>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</si>
  <si>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</si>
  <si>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</si>
  <si>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</si>
  <si>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</si>
  <si>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</si>
  <si>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</si>
  <si>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</si>
  <si>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</si>
  <si>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</si>
  <si>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</si>
  <si>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</si>
  <si>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</si>
  <si>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</si>
  <si>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</si>
  <si>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</si>
  <si>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</si>
  <si>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</si>
  <si>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</si>
  <si>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</si>
  <si>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</si>
  <si>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</si>
  <si>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</si>
  <si>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</si>
  <si>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</si>
  <si>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</si>
  <si>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</si>
  <si>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</si>
  <si>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</si>
  <si>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</si>
  <si>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</si>
  <si>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</si>
  <si>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</si>
  <si>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</si>
  <si>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</si>
  <si>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</si>
  <si>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</si>
  <si>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</si>
  <si>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</si>
  <si>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</si>
  <si>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</si>
  <si>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</si>
  <si>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</si>
  <si>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</si>
  <si>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</si>
  <si>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</si>
  <si>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</si>
  <si>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</si>
  <si>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</si>
  <si>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</si>
  <si>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</si>
  <si>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</si>
  <si>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</si>
  <si>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</si>
  <si>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</si>
  <si>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</si>
  <si>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</si>
  <si>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</si>
  <si>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</si>
  <si>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</si>
  <si>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</si>
  <si>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</si>
  <si>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</si>
  <si>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</si>
  <si>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</si>
  <si>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</si>
  <si>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</si>
  <si>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</si>
  <si>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</si>
  <si>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</si>
  <si>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</si>
  <si>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</si>
  <si>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</si>
  <si>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</si>
  <si>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</si>
  <si>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</si>
  <si>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</si>
  <si>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</si>
  <si>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</si>
  <si>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</si>
  <si>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</si>
  <si>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</si>
  <si>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</si>
  <si>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</si>
  <si>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</si>
  <si>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</si>
  <si>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</si>
  <si>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</si>
  <si>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</si>
  <si>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</si>
  <si>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</si>
  <si>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</si>
  <si>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</si>
  <si>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</si>
  <si>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</si>
  <si>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</si>
  <si>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</si>
  <si>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</si>
  <si>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</si>
  <si>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</si>
  <si>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</si>
  <si>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</si>
  <si>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</si>
  <si>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</si>
  <si>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</si>
  <si>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</si>
  <si>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</si>
  <si>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</si>
  <si>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</si>
  <si>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</si>
  <si>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</si>
  <si>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</si>
  <si>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</si>
  <si>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</si>
  <si>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</si>
  <si>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</si>
  <si>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</si>
  <si>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</si>
  <si>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</si>
  <si>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</si>
  <si>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</si>
  <si>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</si>
  <si>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</si>
  <si>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</si>
  <si>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</si>
  <si>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</si>
  <si>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</si>
  <si>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</si>
  <si>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</si>
  <si>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</si>
  <si>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</si>
  <si>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</si>
  <si>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</si>
  <si>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</si>
  <si>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</si>
  <si>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</si>
  <si>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</si>
  <si>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</si>
  <si>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</si>
  <si>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</si>
  <si>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</si>
  <si>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</si>
  <si>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</si>
  <si>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</si>
  <si>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</si>
  <si>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</si>
  <si>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</si>
  <si>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</si>
  <si>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</si>
  <si>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</si>
  <si>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</si>
  <si>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</si>
  <si>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</si>
  <si>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</si>
  <si>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</si>
  <si>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</si>
  <si>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</si>
  <si>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</si>
  <si>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</si>
  <si>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</si>
  <si>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</si>
  <si>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</si>
  <si>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</si>
  <si>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</si>
  <si>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</si>
  <si>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</si>
  <si>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</si>
  <si>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</si>
  <si>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</si>
  <si>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</si>
  <si>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</si>
  <si>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</si>
  <si>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</si>
  <si>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</si>
  <si>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</si>
  <si>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</si>
  <si>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</si>
  <si>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</si>
  <si>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</si>
  <si>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</si>
  <si>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</si>
  <si>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</si>
  <si>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</si>
  <si>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</si>
  <si>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</si>
  <si>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</si>
  <si>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</si>
  <si>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</si>
  <si>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</si>
  <si>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</si>
  <si>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</si>
  <si>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</si>
  <si>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</si>
  <si>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</si>
  <si>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</si>
  <si>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</si>
  <si>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</si>
  <si>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</si>
  <si>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</si>
  <si>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</si>
  <si>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</si>
  <si>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</si>
  <si>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</si>
  <si>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</si>
  <si>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</si>
  <si>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</si>
  <si>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</si>
  <si>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</si>
  <si>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</si>
  <si>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</si>
  <si>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</si>
  <si>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</si>
  <si>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</si>
  <si>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</si>
  <si>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</si>
  <si>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</si>
  <si>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</si>
  <si>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</si>
  <si>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</si>
  <si>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</si>
  <si>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</si>
  <si>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</si>
  <si>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</si>
  <si>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</si>
  <si>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</si>
  <si>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</si>
  <si>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</si>
  <si>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</si>
  <si>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</si>
  <si>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</si>
  <si>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</si>
  <si>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</si>
  <si>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</si>
  <si>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</si>
  <si>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</si>
  <si>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</si>
  <si>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</si>
  <si>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</si>
  <si>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</si>
  <si>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</si>
  <si>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</si>
  <si>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</si>
  <si>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</si>
  <si>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</si>
  <si>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</si>
  <si>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</si>
  <si>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</si>
  <si>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</si>
  <si>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</si>
  <si>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</si>
  <si>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</si>
  <si>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</si>
  <si>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</si>
  <si>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</si>
  <si>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</si>
  <si>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</si>
  <si>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</si>
  <si>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</si>
  <si>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</si>
  <si>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</si>
  <si>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</si>
  <si>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</si>
  <si>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</si>
  <si>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</si>
  <si>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</si>
  <si>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</si>
  <si>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</si>
  <si>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</si>
  <si>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</si>
  <si>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</si>
  <si>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</si>
  <si>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</si>
  <si>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</si>
  <si>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</si>
  <si>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</si>
  <si>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</si>
  <si>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</si>
  <si>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</si>
  <si>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</si>
  <si>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</si>
  <si>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</si>
  <si>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</si>
  <si>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</si>
  <si>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</si>
  <si>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</si>
  <si>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</si>
  <si>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</si>
  <si>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</si>
  <si>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</si>
  <si>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</si>
  <si>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</si>
  <si>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</si>
  <si>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</si>
  <si>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</si>
  <si>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</si>
  <si>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</si>
  <si>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</si>
  <si>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</si>
  <si>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</si>
  <si>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</si>
  <si>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</si>
  <si>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</si>
  <si>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</si>
  <si>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</si>
  <si>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</si>
  <si>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</si>
  <si>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</si>
  <si>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</si>
  <si>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</si>
  <si>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</si>
  <si>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</si>
  <si>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</si>
  <si>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</si>
  <si>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</si>
  <si>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</si>
  <si>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</si>
  <si>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</si>
  <si>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</si>
  <si>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</si>
  <si>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</si>
  <si>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</si>
  <si>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</si>
  <si>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</si>
  <si>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</si>
  <si>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</si>
  <si>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</si>
  <si>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</si>
  <si>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</si>
  <si>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</si>
  <si>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</si>
  <si>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</si>
  <si>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</si>
  <si>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</si>
  <si>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</si>
  <si>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</si>
  <si>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</si>
  <si>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</si>
  <si>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</si>
  <si>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</si>
  <si>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</si>
  <si>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</si>
  <si>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</si>
  <si>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</si>
  <si>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</si>
  <si>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</si>
  <si>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</si>
  <si>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</si>
  <si>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</si>
  <si>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</si>
  <si>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</si>
  <si>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</si>
  <si>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</si>
  <si>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</si>
  <si>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</si>
  <si>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</si>
  <si>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</si>
  <si>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</si>
  <si>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</si>
  <si>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</si>
  <si>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</si>
  <si>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</si>
  <si>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</si>
  <si>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</si>
  <si>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</si>
  <si>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</si>
  <si>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</si>
  <si>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</si>
  <si>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</si>
  <si>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</si>
  <si>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</si>
  <si>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</si>
  <si>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</si>
  <si>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</si>
  <si>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</si>
  <si>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</si>
  <si>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</si>
  <si>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</si>
  <si>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</si>
  <si>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</si>
  <si>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</si>
  <si>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</si>
  <si>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</si>
  <si>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</si>
  <si>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</si>
  <si>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</si>
  <si>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</si>
  <si>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</si>
  <si>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</si>
  <si>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</si>
  <si>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</si>
  <si>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</si>
  <si>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</si>
  <si>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</si>
  <si>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</si>
  <si>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</si>
  <si>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</si>
  <si>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</si>
  <si>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</si>
  <si>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</si>
  <si>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</si>
  <si>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</si>
  <si>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</si>
  <si>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</si>
  <si>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</si>
  <si>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</si>
  <si>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</si>
  <si>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</si>
  <si>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</si>
  <si>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</si>
  <si>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</si>
  <si>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</si>
  <si>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</si>
  <si>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</si>
  <si>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</si>
  <si>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</si>
  <si>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</si>
  <si>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</si>
  <si>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</si>
  <si>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</si>
  <si>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</si>
  <si>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</si>
  <si>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</si>
  <si>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</si>
  <si>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</si>
  <si>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</si>
  <si>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</si>
  <si>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</si>
  <si>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</si>
  <si>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</si>
  <si>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</si>
  <si>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</si>
  <si>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</si>
  <si>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</si>
  <si>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</si>
  <si>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</si>
  <si>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</si>
  <si>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</si>
  <si>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</si>
  <si>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</si>
  <si>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</si>
  <si>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</si>
  <si>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</si>
  <si>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</si>
  <si>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</si>
  <si>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</si>
  <si>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</si>
  <si>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</si>
  <si>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</si>
  <si>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</si>
  <si>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</si>
  <si>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</si>
  <si>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</si>
  <si>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</si>
  <si>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</si>
  <si>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</si>
  <si>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</si>
  <si>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</si>
  <si>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</si>
  <si>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</si>
  <si>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</si>
  <si>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</si>
  <si>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</si>
  <si>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</si>
  <si>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</si>
  <si>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</si>
  <si>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</si>
  <si>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</si>
  <si>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</si>
  <si>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</si>
  <si>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</si>
  <si>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</si>
  <si>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</si>
  <si>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</si>
  <si>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</si>
  <si>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</si>
  <si>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</si>
  <si>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</si>
  <si>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</si>
  <si>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</si>
  <si>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</si>
  <si>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</si>
  <si>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</si>
  <si>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</si>
  <si>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</si>
  <si>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</si>
  <si>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</si>
  <si>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</si>
  <si>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</si>
  <si>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</si>
  <si>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</si>
  <si>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</si>
  <si>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</si>
  <si>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</si>
  <si>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</si>
  <si>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</si>
  <si>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</si>
  <si>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</si>
  <si>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</si>
  <si>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</si>
  <si>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</si>
  <si>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</si>
  <si>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</si>
  <si>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</si>
  <si>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</si>
  <si>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</si>
  <si>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</si>
  <si>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</si>
  <si>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</si>
  <si>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</si>
  <si>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</si>
  <si>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</si>
  <si>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</si>
  <si>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</si>
  <si>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</si>
  <si>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</si>
  <si>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</si>
  <si>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</si>
  <si>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</si>
  <si>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</si>
  <si>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</si>
  <si>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</si>
  <si>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</si>
  <si>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</si>
  <si>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</si>
  <si>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</si>
  <si>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</si>
  <si>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</si>
  <si>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</si>
  <si>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</si>
  <si>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</si>
  <si>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</si>
  <si>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</si>
  <si>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</si>
  <si>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</si>
  <si>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</si>
  <si>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</si>
  <si>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</si>
  <si>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</si>
  <si>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</si>
  <si>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</si>
  <si>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</si>
  <si>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</si>
  <si>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</si>
  <si>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</si>
  <si>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</si>
  <si>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</si>
  <si>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</si>
  <si>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</si>
  <si>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</si>
  <si>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</si>
  <si>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</si>
  <si>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</si>
  <si>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</si>
  <si>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</si>
  <si>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</si>
  <si>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</si>
  <si>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</si>
  <si>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</si>
  <si>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</si>
  <si>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</si>
  <si>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</si>
  <si>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</si>
  <si>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</si>
  <si>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</si>
  <si>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</si>
  <si>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</si>
  <si>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</si>
  <si>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</si>
  <si>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</si>
  <si>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</si>
  <si>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</si>
  <si>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</si>
  <si>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</si>
  <si>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</si>
  <si>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</si>
  <si>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</si>
  <si>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</si>
  <si>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</si>
  <si>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</si>
  <si>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</si>
  <si>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</si>
  <si>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</si>
  <si>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</si>
  <si>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</si>
  <si>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</si>
  <si>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</si>
  <si>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</si>
  <si>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</si>
  <si>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</si>
  <si>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</si>
  <si>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</si>
  <si>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</si>
  <si>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</si>
  <si>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</si>
  <si>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</si>
  <si>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</si>
  <si>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</si>
  <si>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</si>
  <si>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</si>
  <si>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</si>
  <si>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</si>
  <si>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</si>
  <si>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</si>
  <si>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</si>
  <si>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</si>
  <si>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</si>
  <si>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</si>
  <si>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</si>
  <si>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</si>
  <si>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</si>
  <si>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</si>
  <si>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</si>
  <si>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</si>
  <si>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</si>
  <si>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</si>
  <si>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</si>
  <si>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</si>
  <si>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</si>
  <si>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</si>
  <si>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</si>
  <si>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</si>
  <si>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</si>
  <si>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</si>
  <si>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</si>
  <si>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</si>
  <si>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</si>
  <si>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</si>
  <si>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</si>
  <si>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</si>
  <si>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</si>
  <si>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</si>
  <si>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</si>
  <si>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</si>
  <si>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</si>
  <si>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</si>
  <si>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</si>
  <si>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</si>
  <si>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</si>
  <si>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</si>
  <si>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</si>
  <si>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</si>
  <si>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</si>
  <si>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</si>
  <si>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</si>
  <si>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</si>
  <si>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</si>
  <si>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</si>
  <si>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</si>
  <si>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</si>
  <si>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</si>
  <si>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</si>
  <si>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</si>
  <si>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</si>
  <si>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</si>
  <si>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</si>
  <si>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</si>
  <si>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</si>
  <si>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</si>
  <si>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</si>
  <si>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</si>
  <si>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</si>
  <si>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</si>
  <si>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</si>
  <si>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</si>
  <si>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</si>
  <si>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</si>
  <si>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</si>
  <si>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</si>
  <si>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</si>
  <si>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</si>
  <si>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</si>
  <si>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</si>
  <si>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</si>
  <si>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</si>
  <si>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</si>
  <si>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</si>
  <si>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</si>
  <si>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</si>
  <si>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</si>
  <si>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</si>
  <si>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</si>
  <si>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</si>
  <si>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</si>
  <si>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</si>
  <si>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</si>
  <si>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</si>
  <si>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</si>
  <si>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</si>
  <si>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</si>
  <si>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</si>
  <si>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</si>
  <si>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</si>
  <si>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</si>
  <si>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</si>
  <si>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</si>
  <si>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</si>
  <si>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</si>
  <si>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</si>
  <si>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</si>
  <si>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</si>
  <si>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</si>
  <si>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</si>
  <si>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</si>
  <si>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</si>
  <si>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</si>
  <si>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</si>
  <si>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</si>
  <si>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</si>
  <si>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</si>
  <si>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</si>
  <si>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</si>
  <si>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</si>
  <si>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</si>
  <si>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</si>
  <si>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</si>
  <si>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</si>
  <si>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</si>
  <si>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</si>
  <si>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</si>
  <si>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</si>
  <si>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</si>
  <si>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</si>
  <si>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</si>
  <si>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</si>
  <si>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</si>
  <si>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</si>
  <si>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</si>
  <si>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</si>
  <si>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</si>
  <si>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</si>
  <si>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</si>
  <si>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</si>
  <si>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</si>
  <si>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</si>
  <si>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</si>
  <si>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</si>
  <si>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</si>
  <si>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</si>
  <si>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</si>
  <si>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</si>
  <si>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</si>
  <si>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</si>
  <si>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</si>
  <si>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</si>
  <si>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</si>
  <si>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</si>
  <si>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</si>
  <si>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</si>
  <si>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</si>
  <si>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</si>
  <si>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</si>
  <si>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</si>
  <si>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</si>
  <si>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</si>
  <si>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</si>
  <si>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</si>
  <si>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</si>
  <si>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</si>
  <si>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</si>
  <si>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</si>
  <si>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</si>
  <si>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</si>
  <si>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</si>
  <si>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</si>
  <si>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</si>
  <si>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</si>
  <si>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</si>
  <si>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</si>
  <si>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</si>
  <si>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</si>
  <si>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</si>
  <si>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</si>
  <si>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</si>
  <si>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</si>
  <si>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</si>
  <si>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</si>
  <si>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</si>
  <si>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</si>
  <si>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</si>
  <si>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</si>
  <si>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</si>
  <si>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</si>
  <si>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</si>
  <si>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</si>
  <si>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</si>
  <si>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</si>
  <si>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</si>
  <si>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</si>
  <si>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</si>
  <si>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</si>
  <si>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</si>
  <si>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</si>
  <si>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</si>
  <si>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</si>
  <si>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</si>
  <si>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</si>
  <si>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</si>
  <si>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</si>
  <si>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</si>
  <si>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</si>
  <si>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</si>
  <si>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</si>
  <si>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</si>
  <si>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</si>
  <si>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</si>
  <si>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</si>
  <si>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</si>
  <si>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</si>
  <si>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</si>
  <si>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</si>
  <si>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</si>
  <si>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</si>
  <si>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</si>
  <si>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</si>
  <si>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</si>
  <si>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</si>
  <si>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</si>
  <si>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</si>
  <si>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</si>
  <si>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</si>
  <si>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</si>
  <si>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</si>
  <si>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</si>
  <si>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</si>
  <si>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</si>
  <si>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</si>
  <si>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</si>
  <si>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</si>
  <si>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</si>
  <si>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</si>
  <si>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</si>
  <si>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</si>
  <si>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</si>
  <si>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</si>
  <si>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</si>
  <si>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</si>
  <si>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</si>
  <si>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</si>
  <si>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</si>
  <si>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</si>
  <si>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</si>
  <si>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</si>
  <si>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</si>
  <si>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</si>
  <si>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</si>
  <si>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</si>
  <si>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</si>
  <si>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</si>
  <si>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</si>
  <si>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</si>
  <si>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</si>
  <si>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</si>
  <si>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</si>
  <si>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</si>
  <si>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</si>
  <si>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</si>
  <si>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</si>
  <si>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</si>
  <si>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</si>
  <si>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</si>
  <si>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</si>
  <si>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</si>
  <si>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</si>
  <si>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</si>
  <si>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</si>
  <si>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</si>
  <si>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</si>
  <si>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</si>
  <si>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</si>
  <si>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</si>
  <si>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</si>
  <si>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</si>
  <si>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</si>
  <si>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</si>
  <si>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</si>
  <si>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</si>
  <si>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</si>
  <si>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</si>
  <si>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</si>
  <si>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</si>
  <si>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</si>
  <si>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</si>
  <si>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</si>
  <si>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</si>
  <si>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</si>
  <si>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</si>
  <si>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</si>
  <si>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</si>
  <si>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</si>
  <si>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</si>
  <si>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</si>
  <si>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</si>
  <si>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</si>
  <si>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</si>
  <si>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</si>
  <si>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</si>
  <si>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</si>
  <si>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</si>
  <si>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</si>
  <si>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</si>
  <si>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</si>
  <si>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</si>
  <si>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</si>
  <si>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</si>
  <si>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</si>
  <si>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</si>
  <si>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</si>
  <si>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</si>
  <si>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</si>
  <si>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</si>
  <si>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</si>
  <si>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</si>
  <si>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</si>
  <si>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</si>
  <si>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</si>
  <si>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</si>
  <si>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</si>
  <si>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</si>
  <si>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</si>
  <si>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</si>
  <si>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</si>
  <si>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</si>
  <si>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</si>
  <si>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</si>
  <si>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</si>
  <si>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</si>
  <si>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</si>
  <si>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</si>
  <si>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</si>
  <si>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</si>
  <si>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</si>
  <si>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</si>
  <si>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</si>
  <si>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</si>
  <si>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</si>
  <si>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</si>
  <si>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</si>
  <si>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</si>
  <si>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</si>
  <si>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</si>
  <si>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</si>
  <si>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</si>
  <si>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</si>
  <si>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</si>
  <si>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</si>
  <si>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</si>
  <si>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</si>
  <si>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</si>
  <si>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</si>
  <si>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</si>
  <si>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</si>
  <si>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</si>
  <si>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</si>
  <si>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</si>
  <si>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</si>
  <si>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</si>
  <si>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</si>
  <si>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</si>
  <si>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</si>
  <si>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</si>
  <si>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</si>
  <si>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</si>
  <si>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</si>
  <si>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</si>
  <si>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</si>
  <si>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</si>
  <si>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</si>
  <si>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</si>
  <si>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</si>
  <si>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</si>
  <si>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</si>
  <si>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</si>
  <si>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</si>
  <si>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</si>
  <si>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</si>
  <si>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</si>
  <si>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</si>
  <si>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</si>
  <si>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</si>
  <si>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</si>
  <si>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</si>
  <si>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</si>
  <si>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</si>
  <si>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</si>
  <si>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</si>
  <si>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</si>
  <si>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</si>
  <si>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</si>
  <si>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</si>
  <si>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</si>
  <si>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</si>
  <si>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</si>
  <si>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</si>
  <si>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</si>
  <si>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</si>
  <si>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</si>
  <si>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</si>
  <si>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</si>
  <si>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</si>
  <si>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</si>
  <si>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</si>
  <si>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</si>
  <si>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</si>
  <si>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</si>
  <si>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</si>
  <si>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</si>
  <si>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</si>
  <si>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</si>
  <si>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</si>
  <si>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</si>
  <si>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</si>
  <si>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</si>
  <si>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</si>
  <si>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</si>
  <si>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</si>
  <si>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</si>
  <si>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</si>
  <si>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</si>
  <si>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</si>
  <si>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</si>
  <si>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</si>
  <si>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</si>
  <si>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</si>
  <si>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</si>
  <si>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</si>
  <si>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</si>
  <si>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</si>
  <si>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</si>
  <si>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</si>
  <si>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</si>
  <si>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</si>
  <si>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</si>
  <si>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</si>
  <si>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</si>
  <si>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</si>
  <si>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</si>
  <si>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</si>
  <si>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</si>
  <si>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</si>
  <si>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</si>
  <si>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</si>
  <si>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</si>
  <si>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</si>
  <si>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</si>
  <si>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</si>
  <si>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</si>
  <si>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</si>
  <si>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</si>
  <si>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</si>
  <si>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</si>
  <si>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</si>
  <si>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</si>
  <si>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</si>
  <si>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</si>
  <si>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</si>
  <si>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</si>
  <si>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</si>
  <si>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</si>
  <si>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</si>
  <si>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</si>
  <si>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</si>
  <si>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</si>
  <si>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</si>
  <si>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</si>
  <si>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</si>
  <si>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</si>
  <si>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</si>
  <si>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</si>
  <si>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</si>
  <si>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</si>
  <si>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</si>
  <si>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</si>
  <si>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</si>
  <si>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</si>
  <si>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</si>
  <si>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</si>
  <si>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</si>
  <si>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</si>
  <si>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</si>
  <si>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</si>
  <si>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</si>
  <si>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</si>
  <si>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</si>
  <si>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</si>
  <si>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</si>
  <si>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</si>
  <si>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</si>
  <si>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</si>
  <si>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</si>
  <si>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</si>
  <si>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</si>
  <si>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</si>
  <si>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</si>
  <si>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</si>
  <si>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</si>
  <si>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</si>
  <si>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</si>
  <si>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</si>
  <si>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</si>
  <si>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</si>
  <si>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</si>
  <si>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</si>
  <si>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</si>
  <si>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</si>
  <si>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</si>
  <si>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</si>
  <si>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</si>
  <si>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</si>
  <si>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</si>
  <si>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</si>
  <si>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</si>
  <si>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</si>
  <si>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</si>
  <si>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</si>
  <si>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</si>
  <si>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</si>
  <si>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</si>
  <si>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</si>
  <si>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</si>
  <si>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</si>
  <si>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</si>
  <si>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</si>
  <si>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</si>
  <si>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</si>
  <si>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</si>
  <si>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</si>
  <si>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</si>
  <si>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</si>
  <si>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</si>
  <si>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</si>
  <si>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</si>
  <si>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</si>
  <si>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</si>
  <si>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</si>
  <si>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</si>
  <si>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</si>
  <si>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</si>
  <si>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</si>
  <si>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</si>
  <si>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</si>
  <si>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</si>
  <si>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</si>
  <si>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</si>
  <si>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</si>
  <si>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</si>
  <si>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</si>
  <si>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</si>
  <si>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</si>
  <si>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</si>
  <si>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</si>
  <si>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</si>
  <si>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</si>
  <si>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</si>
  <si>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</si>
  <si>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</si>
  <si>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</si>
  <si>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</si>
  <si>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</si>
  <si>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</si>
  <si>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</si>
  <si>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</si>
  <si>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</si>
  <si>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</si>
  <si>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</si>
  <si>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</si>
  <si>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</si>
  <si>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</si>
  <si>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</si>
  <si>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</si>
  <si>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</si>
  <si>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</si>
  <si>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</si>
  <si>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</si>
  <si>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</si>
  <si>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</si>
  <si>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</si>
  <si>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</si>
  <si>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</si>
  <si>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</si>
  <si>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</si>
  <si>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</si>
  <si>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</si>
  <si>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</si>
  <si>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</si>
  <si>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</si>
  <si>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</si>
  <si>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</si>
  <si>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</si>
  <si>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</si>
  <si>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</si>
  <si>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</si>
  <si>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</si>
  <si>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</si>
  <si>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</si>
  <si>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</si>
  <si>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</si>
  <si>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</si>
  <si>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</si>
  <si>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</si>
  <si>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</si>
  <si>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</si>
  <si>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</si>
  <si>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</si>
  <si>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</si>
  <si>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</si>
  <si>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</si>
  <si>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</si>
  <si>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</si>
  <si>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</si>
  <si>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</si>
  <si>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</si>
  <si>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</si>
  <si>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</si>
  <si>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</si>
  <si>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</si>
  <si>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</si>
  <si>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</si>
  <si>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</si>
  <si>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</si>
  <si>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</si>
  <si>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</si>
  <si>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</si>
  <si>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</si>
  <si>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</si>
  <si>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</si>
  <si>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</si>
  <si>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</si>
  <si>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</si>
  <si>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</si>
  <si>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</si>
  <si>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</si>
  <si>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</si>
  <si>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</si>
  <si>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</si>
  <si>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</si>
  <si>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</si>
  <si>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</si>
  <si>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</si>
  <si>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</si>
  <si>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</si>
  <si>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</si>
  <si>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</si>
  <si>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</si>
  <si>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</si>
  <si>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</si>
  <si>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</si>
  <si>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</si>
  <si>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</si>
  <si>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</si>
  <si>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</si>
  <si>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</si>
  <si>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</si>
  <si>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</si>
  <si>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</si>
  <si>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</si>
  <si>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</si>
  <si>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</si>
  <si>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</si>
  <si>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</si>
  <si>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</si>
  <si>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</si>
  <si>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</si>
  <si>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</si>
  <si>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</si>
  <si>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</si>
  <si>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</si>
  <si>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</si>
  <si>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</si>
  <si>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</si>
  <si>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</si>
  <si>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</si>
  <si>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</si>
  <si>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</si>
  <si>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</si>
  <si>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</si>
  <si>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</si>
  <si>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</si>
  <si>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</si>
  <si>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</si>
  <si>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</si>
  <si>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</si>
  <si>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</si>
  <si>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</si>
  <si>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</si>
  <si>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</si>
  <si>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</si>
  <si>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</si>
  <si>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</si>
  <si>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</si>
  <si>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</si>
  <si>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</si>
  <si>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</si>
  <si>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</si>
  <si>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</si>
  <si>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</si>
  <si>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</si>
  <si>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</si>
  <si>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</si>
  <si>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</si>
  <si>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</si>
  <si>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</si>
  <si>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</si>
  <si>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</si>
  <si>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</si>
  <si>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</si>
  <si>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</si>
  <si>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</si>
  <si>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</si>
  <si>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</si>
  <si>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</si>
  <si>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</si>
  <si>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</si>
  <si>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</si>
  <si>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</si>
  <si>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</si>
  <si>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</si>
  <si>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</si>
  <si>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</si>
  <si>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</si>
  <si>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</si>
  <si>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</si>
  <si>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</si>
  <si>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</si>
  <si>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</si>
  <si>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</si>
  <si>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</si>
  <si>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</si>
  <si>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</si>
  <si>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</si>
  <si>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</si>
  <si>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</si>
  <si>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</si>
  <si>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</si>
  <si>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</si>
  <si>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</si>
  <si>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</si>
  <si>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</si>
  <si>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</si>
  <si>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</si>
  <si>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</si>
  <si>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</si>
  <si>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</si>
  <si>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</si>
  <si>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</si>
  <si>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</si>
  <si>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</si>
  <si>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</si>
  <si>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</si>
  <si>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</si>
  <si>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</si>
  <si>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</si>
  <si>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</si>
  <si>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</si>
  <si>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</si>
  <si>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</si>
  <si>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</si>
  <si>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</si>
  <si>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</si>
  <si>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</si>
  <si>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</si>
  <si>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</si>
  <si>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</si>
  <si>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</si>
  <si>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</si>
  <si>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</si>
  <si>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</si>
  <si>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</si>
  <si>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</si>
  <si>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</si>
  <si>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</si>
  <si>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</si>
  <si>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</si>
  <si>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</si>
  <si>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</si>
  <si>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</si>
  <si>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</si>
  <si>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</si>
  <si>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</si>
  <si>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</si>
  <si>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</si>
  <si>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</si>
  <si>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</si>
  <si>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</si>
  <si>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</si>
  <si>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</si>
  <si>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</si>
  <si>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</si>
  <si>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</si>
  <si>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</si>
  <si>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</si>
  <si>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</si>
  <si>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</si>
  <si>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</si>
  <si>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</si>
  <si>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</si>
  <si>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</si>
  <si>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</si>
  <si>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</si>
  <si>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</si>
  <si>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</si>
  <si>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</si>
  <si>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</si>
  <si>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</si>
  <si>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</si>
  <si>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</si>
  <si>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</si>
  <si>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</si>
  <si>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</si>
  <si>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</si>
  <si>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</si>
  <si>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</si>
  <si>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</si>
  <si>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</si>
  <si>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</si>
  <si>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</si>
  <si>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</si>
  <si>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</si>
  <si>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</si>
  <si>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</si>
  <si>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</si>
  <si>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</si>
  <si>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</si>
  <si>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</si>
  <si>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</si>
  <si>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</si>
  <si>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</si>
  <si>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</si>
  <si>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</si>
  <si>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</si>
  <si>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</si>
  <si>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</si>
  <si>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</si>
  <si>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</si>
  <si>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</si>
  <si>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</si>
  <si>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</si>
  <si>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</si>
  <si>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</si>
  <si>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</si>
  <si>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</si>
  <si>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</si>
  <si>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</si>
  <si>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</si>
  <si>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</si>
  <si>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</si>
  <si>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</si>
  <si>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</si>
  <si>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</si>
  <si>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</si>
  <si>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</si>
  <si>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</si>
  <si>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</si>
  <si>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</si>
  <si>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</si>
  <si>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</si>
  <si>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</si>
  <si>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</si>
  <si>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</si>
  <si>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</si>
  <si>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</si>
  <si>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</si>
  <si>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</si>
  <si>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</si>
  <si>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</si>
  <si>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</si>
  <si>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</si>
  <si>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</si>
  <si>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</si>
  <si>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</si>
  <si>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</si>
  <si>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</si>
  <si>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</si>
  <si>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</si>
  <si>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</si>
  <si>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</si>
  <si>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</si>
  <si>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</si>
  <si>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</si>
  <si>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</si>
  <si>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</si>
  <si>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</si>
  <si>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</si>
  <si>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</si>
  <si>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</si>
  <si>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</si>
  <si>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</si>
  <si>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</si>
  <si>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</si>
  <si>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</si>
  <si>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</si>
  <si>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</si>
  <si>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</si>
  <si>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</si>
  <si>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</si>
  <si>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</si>
  <si>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</si>
  <si>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</si>
  <si>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</si>
  <si>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</si>
  <si>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</si>
  <si>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</si>
  <si>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</si>
  <si>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</si>
  <si>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</si>
  <si>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</si>
  <si>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</si>
  <si>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</si>
  <si>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</si>
  <si>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</si>
  <si>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</si>
  <si>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</si>
  <si>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</si>
  <si>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</si>
  <si>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</si>
  <si>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</si>
  <si>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</si>
  <si>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</si>
  <si>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</si>
  <si>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</si>
  <si>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</si>
  <si>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</si>
  <si>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</si>
  <si>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</si>
  <si>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</si>
  <si>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</si>
  <si>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</si>
  <si>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</si>
  <si>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</si>
  <si>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</si>
  <si>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</si>
  <si>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</si>
  <si>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</si>
  <si>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</si>
  <si>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</si>
  <si>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</si>
  <si>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</si>
  <si>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</si>
  <si>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</si>
  <si>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</si>
  <si>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</si>
  <si>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</si>
  <si>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</si>
  <si>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</si>
  <si>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</si>
  <si>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</si>
  <si>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</si>
  <si>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</si>
  <si>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</si>
  <si>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</si>
  <si>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</si>
  <si>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</si>
  <si>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</si>
  <si>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</si>
  <si>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</si>
  <si>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</si>
  <si>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</si>
  <si>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</si>
  <si>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</si>
  <si>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</si>
  <si>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</si>
  <si>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</si>
  <si>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</si>
  <si>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</si>
  <si>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</si>
  <si>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</si>
  <si>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</si>
  <si>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</si>
  <si>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</si>
  <si>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</si>
  <si>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</si>
  <si>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</si>
  <si>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</si>
  <si>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</si>
  <si>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</si>
  <si>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</si>
  <si>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</si>
  <si>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</si>
  <si>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</si>
  <si>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</si>
  <si>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</si>
  <si>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</si>
  <si>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</si>
  <si>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</si>
  <si>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</si>
  <si>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</si>
  <si>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</si>
  <si>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</si>
  <si>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</si>
  <si>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</si>
  <si>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</si>
  <si>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</si>
  <si>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</si>
  <si>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</si>
  <si>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</si>
  <si>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</si>
  <si>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</si>
  <si>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</si>
  <si>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</si>
  <si>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</si>
  <si>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</si>
  <si>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</si>
  <si>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</si>
  <si>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</si>
  <si>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</si>
  <si>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</si>
  <si>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</si>
  <si>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</si>
  <si>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</si>
  <si>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</si>
  <si>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</si>
  <si>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</si>
  <si>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</si>
  <si>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</si>
  <si>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
55100000
55101520
55120000
55121500
55121600
55121700
55121900
82101500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</si>
  <si>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</si>
  <si>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</si>
  <si>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</si>
  <si>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</si>
  <si>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</si>
  <si>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</si>
  <si>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</si>
  <si>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</si>
  <si>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</si>
  <si>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</si>
  <si>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</si>
  <si>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</si>
  <si>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</si>
  <si>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</si>
  <si>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</si>
  <si>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</si>
  <si>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</si>
  <si>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</si>
  <si>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</si>
  <si>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</si>
  <si>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</si>
  <si>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</si>
  <si>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</si>
  <si>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</si>
  <si>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</si>
  <si>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</si>
  <si>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 xml:space="preserve">ADQUISICION Y RENOVACION DE LICENCIAS DE APOYO ADMINISTRATIVO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</si>
  <si>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</si>
  <si>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</si>
  <si>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</si>
  <si>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</si>
  <si>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</si>
  <si>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</si>
  <si>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</si>
  <si>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</si>
  <si>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</si>
  <si>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</si>
  <si>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</si>
  <si>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</si>
  <si>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</si>
  <si>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</si>
  <si>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</si>
  <si>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</si>
  <si>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</si>
  <si>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</si>
  <si>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</si>
  <si>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</si>
  <si>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</si>
  <si>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</si>
  <si>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</si>
  <si>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</si>
  <si>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</si>
  <si>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</si>
  <si>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</si>
  <si>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</si>
  <si>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</si>
  <si>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PRESTACIÓN DE SERVICIOS PROFESIONALES APLICACIÓN BATERIA RIESGO PSICOSOCIAL FUCIONARIOS ICFE</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</si>
  <si>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</si>
  <si>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</si>
  <si>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</si>
  <si>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</si>
  <si>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</si>
  <si>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</si>
  <si>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</si>
  <si>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</si>
  <si>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</si>
  <si>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</si>
  <si>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</si>
  <si>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</si>
  <si>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</si>
  <si>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</si>
  <si>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</si>
  <si>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</si>
  <si>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</si>
  <si>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</si>
  <si>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</si>
  <si>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</si>
  <si>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</si>
  <si>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</si>
  <si>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</si>
  <si>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</si>
  <si>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</si>
  <si>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</si>
  <si>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</si>
  <si>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</si>
  <si>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</si>
  <si>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</si>
  <si>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</si>
  <si>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</si>
  <si>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</si>
  <si>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</si>
  <si>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1524
15124
28724
32924
49324</t>
  </si>
  <si>
    <t>1424
50424</t>
  </si>
  <si>
    <t>17924
33224
43324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</si>
  <si>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</si>
  <si>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</si>
  <si>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</si>
  <si>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</si>
  <si>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</si>
  <si>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</si>
  <si>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</si>
  <si>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</si>
  <si>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</si>
  <si>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</si>
  <si>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</si>
  <si>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</si>
  <si>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</si>
  <si>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</si>
  <si>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</si>
  <si>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</si>
  <si>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</si>
  <si>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</si>
  <si>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</si>
  <si>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</si>
  <si>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</si>
  <si>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</si>
  <si>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</si>
  <si>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</si>
  <si>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</si>
  <si>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</si>
  <si>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</si>
  <si>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</si>
  <si>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</si>
  <si>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</si>
  <si>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</si>
  <si>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</si>
  <si>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</si>
  <si>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</si>
  <si>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</si>
  <si>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</si>
  <si>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</si>
  <si>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</si>
  <si>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</si>
  <si>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</si>
  <si>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</si>
  <si>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</si>
  <si>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</si>
  <si>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</si>
  <si>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17924
33124…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</si>
  <si>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</si>
  <si>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</si>
  <si>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</si>
  <si>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</si>
  <si>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</si>
  <si>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8124
63424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</si>
</sst>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b/>
      <sz val="11"/>
      <color theme="1"/>
      <name val="Arial"/>
      <family val="2"/>
    </font>
  </fonts>
  <fills count="34">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390">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4" fontId="16" fillId="14" borderId="1" xfId="0" applyNumberFormat="1" applyFont="1" applyFill="1" applyBorder="1" applyAlignment="1" applyProtection="1">
      <alignment horizontal="right" vertical="center"/>
      <protection locked="0"/>
    </xf>
    <xf numFmtId="166" fontId="16" fillId="14" borderId="1" xfId="6" applyFont="1" applyFill="1" applyBorder="1" applyAlignment="1" applyProtection="1">
      <alignment horizontal="righ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2" fillId="7" borderId="0" xfId="2" applyFont="1" applyFill="1" applyBorder="1" applyAlignment="1" applyProtection="1">
      <alignment horizontal="center" vertical="center" wrapText="1"/>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7"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41" fontId="20" fillId="20"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8" fillId="8" borderId="0" xfId="0" applyFont="1" applyFill="1" applyAlignment="1" applyProtection="1">
      <alignment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35" fillId="13" borderId="1" xfId="1" applyNumberFormat="1" applyFont="1" applyFill="1" applyBorder="1" applyProtection="1">
      <protection locked="0"/>
    </xf>
    <xf numFmtId="171" fontId="17" fillId="18" borderId="1" xfId="1" applyNumberFormat="1" applyFont="1" applyFill="1" applyBorder="1" applyAlignment="1" applyProtection="1">
      <alignment horizontal="center" vertical="center" wrapText="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390"/>
  <sheetViews>
    <sheetView showGridLines="0" tabSelected="1" zoomScale="70" zoomScaleNormal="70" workbookViewId="0">
      <pane ySplit="6" topLeftCell="A302" activePane="bottomLeft" state="frozen"/>
      <selection pane="bottomLeft" activeCell="A311" sqref="A311"/>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4.28515625" style="20" hidden="1" customWidth="1"/>
    <col min="22" max="22" width="29.85546875" style="383" hidden="1" customWidth="1"/>
    <col min="23" max="24" width="29.85546875" style="20" hidden="1" customWidth="1"/>
    <col min="25" max="25" width="14.140625" bestFit="1" customWidth="1"/>
  </cols>
  <sheetData>
    <row r="1" spans="1:27" x14ac:dyDescent="0.25">
      <c r="B1" s="13"/>
      <c r="C1" s="13"/>
      <c r="D1" s="13"/>
      <c r="E1" s="13"/>
      <c r="F1" s="13"/>
      <c r="G1" s="13"/>
      <c r="H1" s="13"/>
      <c r="I1" s="13"/>
      <c r="J1" s="13"/>
      <c r="K1" s="13"/>
      <c r="L1" s="13"/>
      <c r="M1" s="13"/>
      <c r="N1" s="14"/>
      <c r="U1" s="16"/>
      <c r="V1" s="357"/>
      <c r="W1" s="18"/>
      <c r="X1" s="13"/>
      <c r="Y1" s="20"/>
    </row>
    <row r="2" spans="1:27" x14ac:dyDescent="0.25">
      <c r="B2" s="21" t="s">
        <v>113164</v>
      </c>
      <c r="C2" s="13"/>
      <c r="D2" s="13"/>
      <c r="E2" s="13"/>
      <c r="F2" s="13"/>
      <c r="G2" s="13"/>
      <c r="H2" s="13"/>
      <c r="I2" s="13"/>
      <c r="J2" s="13"/>
      <c r="K2" s="13"/>
      <c r="L2" s="13"/>
      <c r="M2" s="13"/>
      <c r="N2" s="14"/>
      <c r="U2" s="16"/>
      <c r="V2" s="357"/>
      <c r="W2" s="18"/>
      <c r="X2" s="13"/>
      <c r="Y2" s="20"/>
    </row>
    <row r="3" spans="1:27" x14ac:dyDescent="0.25">
      <c r="B3" s="21"/>
      <c r="C3" s="13"/>
      <c r="D3" s="13"/>
      <c r="E3" s="13"/>
      <c r="F3" s="13"/>
      <c r="G3" s="13"/>
      <c r="H3" s="13"/>
      <c r="I3" s="13"/>
      <c r="J3" s="13"/>
      <c r="K3" s="13"/>
      <c r="L3" s="13"/>
      <c r="M3" s="13"/>
      <c r="N3" s="14"/>
      <c r="U3" s="16"/>
      <c r="V3" s="357"/>
      <c r="W3" s="18"/>
      <c r="X3" s="13"/>
      <c r="Y3" s="20"/>
    </row>
    <row r="4" spans="1:27" x14ac:dyDescent="0.25">
      <c r="B4" s="21" t="s">
        <v>112983</v>
      </c>
      <c r="C4" s="13"/>
      <c r="D4" s="13"/>
      <c r="E4" s="13"/>
      <c r="F4" s="13"/>
      <c r="G4" s="13"/>
      <c r="H4" s="13"/>
      <c r="I4" s="13"/>
      <c r="J4" s="13"/>
      <c r="K4" s="13"/>
      <c r="L4" s="13"/>
      <c r="N4" s="14"/>
      <c r="S4" s="18"/>
      <c r="U4" s="16"/>
      <c r="V4" s="357"/>
      <c r="W4" s="18"/>
      <c r="X4" s="18"/>
      <c r="Y4" s="20"/>
    </row>
    <row r="5" spans="1:27" ht="16.5" thickBot="1" x14ac:dyDescent="0.3">
      <c r="B5" s="13"/>
      <c r="C5" s="13"/>
      <c r="D5" s="13"/>
      <c r="E5" s="13"/>
      <c r="F5" s="13"/>
      <c r="G5" s="13"/>
      <c r="H5" s="13"/>
      <c r="I5" s="13"/>
      <c r="J5" s="13"/>
      <c r="K5" s="13"/>
      <c r="L5" s="13"/>
      <c r="M5" s="13"/>
      <c r="N5" s="14"/>
      <c r="U5" s="16"/>
      <c r="V5" s="357"/>
      <c r="W5" s="18"/>
      <c r="X5" s="13"/>
      <c r="Y5" s="20"/>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113175</v>
      </c>
      <c r="S6" s="29" t="s">
        <v>113176</v>
      </c>
      <c r="T6" s="26" t="s">
        <v>112992</v>
      </c>
      <c r="U6" s="299"/>
      <c r="V6" s="312" t="s">
        <v>113307</v>
      </c>
      <c r="W6" s="313" t="s">
        <v>113308</v>
      </c>
      <c r="X6" s="314" t="s">
        <v>113309</v>
      </c>
    </row>
    <row r="7" spans="1:27" x14ac:dyDescent="0.25">
      <c r="A7" s="293"/>
      <c r="B7" s="30" t="s">
        <v>105516</v>
      </c>
      <c r="C7" s="30" t="s">
        <v>105573</v>
      </c>
      <c r="D7" s="30"/>
      <c r="E7" s="30"/>
      <c r="F7" s="30"/>
      <c r="G7" s="30"/>
      <c r="H7" s="30"/>
      <c r="I7" s="30"/>
      <c r="J7" s="30"/>
      <c r="K7" s="31"/>
      <c r="L7" s="32"/>
      <c r="M7" s="33" t="s">
        <v>112993</v>
      </c>
      <c r="N7" s="34" t="s">
        <v>112994</v>
      </c>
      <c r="O7" s="34" t="s">
        <v>112994</v>
      </c>
      <c r="P7" s="35"/>
      <c r="Q7" s="35"/>
      <c r="R7" s="36">
        <f>+R8+R25</f>
        <v>8209000000</v>
      </c>
      <c r="S7" s="38"/>
      <c r="T7" s="39" t="s">
        <v>112994</v>
      </c>
      <c r="U7" s="34" t="s">
        <v>112994</v>
      </c>
      <c r="V7" s="358" t="s">
        <v>112994</v>
      </c>
      <c r="W7" s="35"/>
      <c r="X7" s="35"/>
    </row>
    <row r="8" spans="1:27"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374700000</v>
      </c>
      <c r="S8" s="48"/>
      <c r="T8" s="49" t="s">
        <v>112994</v>
      </c>
      <c r="U8" s="44" t="s">
        <v>112994</v>
      </c>
      <c r="V8" s="359" t="s">
        <v>112994</v>
      </c>
      <c r="W8" s="45"/>
      <c r="X8" s="45"/>
    </row>
    <row r="9" spans="1:27"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374700000</v>
      </c>
      <c r="S9" s="57"/>
      <c r="T9" s="58"/>
      <c r="U9" s="53" t="s">
        <v>112994</v>
      </c>
      <c r="V9" s="360" t="s">
        <v>112994</v>
      </c>
      <c r="W9" s="54"/>
      <c r="X9" s="54"/>
    </row>
    <row r="10" spans="1:27"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235000000</v>
      </c>
      <c r="S10" s="66"/>
      <c r="T10" s="67"/>
      <c r="U10" s="63" t="s">
        <v>112994</v>
      </c>
      <c r="V10" s="361" t="s">
        <v>112994</v>
      </c>
      <c r="W10" s="64"/>
      <c r="X10" s="64"/>
    </row>
    <row r="11" spans="1:27" x14ac:dyDescent="0.25">
      <c r="B11" s="338" t="s">
        <v>105516</v>
      </c>
      <c r="C11" s="338" t="s">
        <v>105573</v>
      </c>
      <c r="D11" s="338" t="s">
        <v>105520</v>
      </c>
      <c r="E11" s="338" t="s">
        <v>105520</v>
      </c>
      <c r="F11" s="338" t="s">
        <v>105541</v>
      </c>
      <c r="G11" s="338" t="s">
        <v>105541</v>
      </c>
      <c r="H11" s="68"/>
      <c r="I11" s="68"/>
      <c r="J11" s="68"/>
      <c r="K11" s="69"/>
      <c r="L11" s="69"/>
      <c r="M11" s="70" t="s">
        <v>106246</v>
      </c>
      <c r="N11" s="71" t="s">
        <v>112994</v>
      </c>
      <c r="O11" s="71" t="s">
        <v>112994</v>
      </c>
      <c r="P11" s="72"/>
      <c r="Q11" s="72"/>
      <c r="R11" s="73">
        <f>+R12</f>
        <v>135000000</v>
      </c>
      <c r="S11" s="74"/>
      <c r="T11" s="75"/>
      <c r="U11" s="71" t="s">
        <v>112994</v>
      </c>
      <c r="V11" s="362" t="s">
        <v>112994</v>
      </c>
      <c r="W11" s="72"/>
      <c r="X11" s="72"/>
    </row>
    <row r="12" spans="1:27"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135000000</v>
      </c>
      <c r="S12" s="82"/>
      <c r="T12" s="83"/>
      <c r="U12" s="79"/>
      <c r="V12" s="363"/>
      <c r="W12" s="80"/>
      <c r="X12" s="80"/>
    </row>
    <row r="13" spans="1:27" ht="45" customHeight="1" x14ac:dyDescent="0.25">
      <c r="B13" s="84"/>
      <c r="C13" s="85"/>
      <c r="D13" s="85"/>
      <c r="E13" s="85"/>
      <c r="F13" s="85"/>
      <c r="G13" s="85"/>
      <c r="H13" s="85"/>
      <c r="I13" s="85"/>
      <c r="J13" s="86"/>
      <c r="K13" s="86" t="s">
        <v>106245</v>
      </c>
      <c r="L13" s="87" t="s">
        <v>112995</v>
      </c>
      <c r="M13" s="88" t="s">
        <v>113265</v>
      </c>
      <c r="N13" s="89">
        <v>45474</v>
      </c>
      <c r="O13" s="89" t="s">
        <v>112996</v>
      </c>
      <c r="P13" s="90" t="s">
        <v>113312</v>
      </c>
      <c r="Q13" s="90" t="s">
        <v>112998</v>
      </c>
      <c r="R13" s="295">
        <v>100000000</v>
      </c>
      <c r="S13" s="92"/>
      <c r="T13" s="93" t="s">
        <v>112999</v>
      </c>
      <c r="U13" s="303"/>
      <c r="V13" s="301"/>
      <c r="W13" s="301"/>
      <c r="X13" s="302">
        <f>W13-R13</f>
        <v>-100000000</v>
      </c>
    </row>
    <row r="14" spans="1:27" ht="42" customHeight="1" x14ac:dyDescent="0.25">
      <c r="B14" s="84"/>
      <c r="C14" s="85"/>
      <c r="D14" s="85"/>
      <c r="E14" s="85"/>
      <c r="F14" s="85"/>
      <c r="G14" s="85"/>
      <c r="H14" s="85"/>
      <c r="I14" s="85"/>
      <c r="J14" s="86"/>
      <c r="K14" s="86" t="s">
        <v>106245</v>
      </c>
      <c r="L14" s="87" t="s">
        <v>113310</v>
      </c>
      <c r="M14" s="95" t="s">
        <v>113250</v>
      </c>
      <c r="N14" s="89">
        <v>45474</v>
      </c>
      <c r="O14" s="89" t="s">
        <v>112996</v>
      </c>
      <c r="P14" s="90" t="s">
        <v>113137</v>
      </c>
      <c r="Q14" s="90" t="s">
        <v>113050</v>
      </c>
      <c r="R14" s="295">
        <v>35000000</v>
      </c>
      <c r="S14" s="92"/>
      <c r="T14" s="93" t="s">
        <v>113002</v>
      </c>
      <c r="U14" s="303"/>
      <c r="V14" s="301"/>
      <c r="W14" s="301"/>
      <c r="X14" s="302">
        <f>W14-R14</f>
        <v>-35000000</v>
      </c>
      <c r="AA14" t="s">
        <v>113354</v>
      </c>
    </row>
    <row r="15" spans="1:27" x14ac:dyDescent="0.25">
      <c r="B15" s="338" t="s">
        <v>105516</v>
      </c>
      <c r="C15" s="338" t="s">
        <v>105573</v>
      </c>
      <c r="D15" s="338" t="s">
        <v>105520</v>
      </c>
      <c r="E15" s="338" t="s">
        <v>105520</v>
      </c>
      <c r="F15" s="338" t="s">
        <v>105541</v>
      </c>
      <c r="G15" s="338" t="s">
        <v>105544</v>
      </c>
      <c r="H15" s="68"/>
      <c r="I15" s="68"/>
      <c r="J15" s="68"/>
      <c r="K15" s="69"/>
      <c r="L15" s="69"/>
      <c r="M15" s="70" t="s">
        <v>106264</v>
      </c>
      <c r="N15" s="71" t="s">
        <v>112994</v>
      </c>
      <c r="O15" s="71" t="s">
        <v>112994</v>
      </c>
      <c r="P15" s="72" t="s">
        <v>112994</v>
      </c>
      <c r="Q15" s="72"/>
      <c r="R15" s="73">
        <f>+R16</f>
        <v>100000000</v>
      </c>
      <c r="S15" s="74"/>
      <c r="T15" s="75"/>
      <c r="U15" s="71" t="s">
        <v>112994</v>
      </c>
      <c r="V15" s="362" t="s">
        <v>112994</v>
      </c>
      <c r="W15" s="72"/>
      <c r="X15" s="72"/>
    </row>
    <row r="16" spans="1:27" ht="33.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100000000</v>
      </c>
      <c r="S16" s="82"/>
      <c r="T16" s="96"/>
      <c r="U16" s="79"/>
      <c r="V16" s="363"/>
      <c r="W16" s="80"/>
      <c r="X16" s="80"/>
    </row>
    <row r="17" spans="1:24" ht="53.25" customHeight="1" x14ac:dyDescent="0.25">
      <c r="B17" s="84"/>
      <c r="C17" s="85"/>
      <c r="D17" s="85"/>
      <c r="E17" s="85"/>
      <c r="F17" s="85"/>
      <c r="G17" s="85"/>
      <c r="H17" s="85"/>
      <c r="I17" s="85"/>
      <c r="J17" s="86"/>
      <c r="K17" s="86" t="s">
        <v>106263</v>
      </c>
      <c r="L17" s="51">
        <v>43211500</v>
      </c>
      <c r="M17" s="97" t="s">
        <v>113349</v>
      </c>
      <c r="N17" s="89">
        <v>45474</v>
      </c>
      <c r="O17" s="89" t="s">
        <v>112996</v>
      </c>
      <c r="P17" s="90" t="s">
        <v>113005</v>
      </c>
      <c r="Q17" s="90" t="s">
        <v>113036</v>
      </c>
      <c r="R17" s="296">
        <v>100000000</v>
      </c>
      <c r="S17" s="98"/>
      <c r="T17" s="93" t="s">
        <v>113002</v>
      </c>
      <c r="U17" s="300">
        <v>58524</v>
      </c>
      <c r="V17" s="301">
        <v>100000000</v>
      </c>
      <c r="W17" s="301"/>
      <c r="X17" s="302">
        <f>W17-R17</f>
        <v>-100000000</v>
      </c>
    </row>
    <row r="18" spans="1:24"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61" t="s">
        <v>112994</v>
      </c>
      <c r="W18" s="64"/>
      <c r="X18" s="64"/>
    </row>
    <row r="19" spans="1:24" x14ac:dyDescent="0.25">
      <c r="B19" s="338" t="s">
        <v>105516</v>
      </c>
      <c r="C19" s="338" t="s">
        <v>105573</v>
      </c>
      <c r="D19" s="338" t="s">
        <v>105520</v>
      </c>
      <c r="E19" s="338" t="s">
        <v>105520</v>
      </c>
      <c r="F19" s="338" t="s">
        <v>105547</v>
      </c>
      <c r="G19" s="338" t="s">
        <v>105535</v>
      </c>
      <c r="H19" s="68"/>
      <c r="I19" s="68"/>
      <c r="J19" s="68"/>
      <c r="K19" s="69"/>
      <c r="L19" s="69"/>
      <c r="M19" s="70" t="s">
        <v>106388</v>
      </c>
      <c r="N19" s="71"/>
      <c r="O19" s="71"/>
      <c r="P19" s="72"/>
      <c r="Q19" s="72"/>
      <c r="R19" s="73">
        <f>+R20</f>
        <v>139700000</v>
      </c>
      <c r="S19" s="74"/>
      <c r="T19" s="75"/>
      <c r="U19" s="71" t="s">
        <v>112994</v>
      </c>
      <c r="V19" s="362" t="s">
        <v>112994</v>
      </c>
      <c r="W19" s="72"/>
      <c r="X19" s="72"/>
    </row>
    <row r="20" spans="1:24"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63"/>
      <c r="W20" s="80"/>
      <c r="X20" s="80"/>
    </row>
    <row r="21" spans="1:24"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63"/>
      <c r="W21" s="80"/>
      <c r="X21" s="80"/>
    </row>
    <row r="22" spans="1:24"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SUM(R23:R24)</f>
        <v>139700000</v>
      </c>
      <c r="S22" s="82"/>
      <c r="T22" s="96"/>
      <c r="U22" s="79"/>
      <c r="V22" s="363"/>
      <c r="W22" s="80"/>
      <c r="X22" s="80"/>
    </row>
    <row r="23" spans="1:24" ht="30" x14ac:dyDescent="0.25">
      <c r="B23" s="84"/>
      <c r="C23" s="85"/>
      <c r="D23" s="85"/>
      <c r="E23" s="85"/>
      <c r="F23" s="85"/>
      <c r="G23" s="85"/>
      <c r="H23" s="85"/>
      <c r="I23" s="85"/>
      <c r="J23" s="86"/>
      <c r="K23" s="86" t="s">
        <v>106387</v>
      </c>
      <c r="L23" s="51">
        <v>43231500</v>
      </c>
      <c r="M23" s="88" t="s">
        <v>113007</v>
      </c>
      <c r="N23" s="89">
        <v>45443</v>
      </c>
      <c r="O23" s="89" t="s">
        <v>113171</v>
      </c>
      <c r="P23" s="90" t="s">
        <v>113026</v>
      </c>
      <c r="Q23" s="90" t="s">
        <v>112998</v>
      </c>
      <c r="R23" s="91">
        <v>79700000</v>
      </c>
      <c r="S23" s="92"/>
      <c r="T23" s="93" t="s">
        <v>113010</v>
      </c>
      <c r="U23" s="303"/>
      <c r="V23" s="301"/>
      <c r="W23" s="301"/>
      <c r="X23" s="302">
        <f t="shared" ref="X23:X24" si="0">W23-R23</f>
        <v>-79700000</v>
      </c>
    </row>
    <row r="24" spans="1:24" ht="98.25" customHeight="1" x14ac:dyDescent="0.25">
      <c r="B24" s="84"/>
      <c r="C24" s="85"/>
      <c r="D24" s="85"/>
      <c r="E24" s="85"/>
      <c r="F24" s="85"/>
      <c r="G24" s="85"/>
      <c r="H24" s="85"/>
      <c r="I24" s="85"/>
      <c r="J24" s="86"/>
      <c r="K24" s="86"/>
      <c r="L24" s="51">
        <v>43231500</v>
      </c>
      <c r="M24" s="88" t="s">
        <v>113298</v>
      </c>
      <c r="N24" s="89">
        <v>45474</v>
      </c>
      <c r="O24" s="89" t="s">
        <v>112996</v>
      </c>
      <c r="P24" s="90" t="s">
        <v>113137</v>
      </c>
      <c r="Q24" s="90" t="s">
        <v>112998</v>
      </c>
      <c r="R24" s="295">
        <v>60000000</v>
      </c>
      <c r="S24" s="92"/>
      <c r="T24" s="93" t="s">
        <v>113092</v>
      </c>
      <c r="U24" s="303"/>
      <c r="V24" s="301"/>
      <c r="W24" s="301"/>
      <c r="X24" s="302">
        <f t="shared" si="0"/>
        <v>-60000000</v>
      </c>
    </row>
    <row r="25" spans="1:24" x14ac:dyDescent="0.25">
      <c r="A25" s="21"/>
      <c r="B25" s="40" t="s">
        <v>105516</v>
      </c>
      <c r="C25" s="40" t="s">
        <v>105573</v>
      </c>
      <c r="D25" s="40" t="s">
        <v>105573</v>
      </c>
      <c r="E25" s="40"/>
      <c r="F25" s="40"/>
      <c r="G25" s="40"/>
      <c r="H25" s="40"/>
      <c r="I25" s="40"/>
      <c r="J25" s="40"/>
      <c r="K25" s="41"/>
      <c r="L25" s="42"/>
      <c r="M25" s="43" t="s">
        <v>106435</v>
      </c>
      <c r="N25" s="44"/>
      <c r="O25" s="44"/>
      <c r="P25" s="45"/>
      <c r="Q25" s="45"/>
      <c r="R25" s="46">
        <f>+R26+R90</f>
        <v>7834300000</v>
      </c>
      <c r="S25" s="47"/>
      <c r="T25" s="49"/>
      <c r="U25" s="44"/>
      <c r="V25" s="359"/>
      <c r="W25" s="45"/>
      <c r="X25" s="45"/>
    </row>
    <row r="26" spans="1:24" x14ac:dyDescent="0.25">
      <c r="B26" s="50" t="s">
        <v>105516</v>
      </c>
      <c r="C26" s="50" t="s">
        <v>105573</v>
      </c>
      <c r="D26" s="50" t="s">
        <v>105573</v>
      </c>
      <c r="E26" s="50" t="s">
        <v>105520</v>
      </c>
      <c r="F26" s="50"/>
      <c r="G26" s="50"/>
      <c r="H26" s="50"/>
      <c r="I26" s="50"/>
      <c r="J26" s="50"/>
      <c r="K26" s="51"/>
      <c r="L26" s="51"/>
      <c r="M26" s="52" t="s">
        <v>106437</v>
      </c>
      <c r="N26" s="53"/>
      <c r="O26" s="53"/>
      <c r="P26" s="54"/>
      <c r="Q26" s="54"/>
      <c r="R26" s="55">
        <f>+R27+R31+R43+R70</f>
        <v>1077200000</v>
      </c>
      <c r="S26" s="56"/>
      <c r="T26" s="99"/>
      <c r="U26" s="53"/>
      <c r="V26" s="360"/>
      <c r="W26" s="54"/>
      <c r="X26" s="54"/>
    </row>
    <row r="27" spans="1:24" x14ac:dyDescent="0.25">
      <c r="B27" s="59" t="s">
        <v>105516</v>
      </c>
      <c r="C27" s="59" t="s">
        <v>105573</v>
      </c>
      <c r="D27" s="59" t="s">
        <v>105573</v>
      </c>
      <c r="E27" s="59" t="s">
        <v>105520</v>
      </c>
      <c r="F27" s="59" t="s">
        <v>106438</v>
      </c>
      <c r="G27" s="59"/>
      <c r="H27" s="59"/>
      <c r="I27" s="59"/>
      <c r="J27" s="59"/>
      <c r="K27" s="60"/>
      <c r="L27" s="61"/>
      <c r="M27" s="62" t="s">
        <v>106440</v>
      </c>
      <c r="N27" s="63"/>
      <c r="O27" s="63"/>
      <c r="P27" s="64"/>
      <c r="Q27" s="64"/>
      <c r="R27" s="65">
        <f>+R28</f>
        <v>5000000</v>
      </c>
      <c r="S27" s="66"/>
      <c r="T27" s="67"/>
      <c r="U27" s="63"/>
      <c r="V27" s="361"/>
      <c r="W27" s="64"/>
      <c r="X27" s="64"/>
    </row>
    <row r="28" spans="1:24" x14ac:dyDescent="0.25">
      <c r="B28" s="338" t="s">
        <v>105516</v>
      </c>
      <c r="C28" s="338" t="s">
        <v>105573</v>
      </c>
      <c r="D28" s="338" t="s">
        <v>105573</v>
      </c>
      <c r="E28" s="338" t="s">
        <v>105520</v>
      </c>
      <c r="F28" s="338" t="s">
        <v>106438</v>
      </c>
      <c r="G28" s="338" t="s">
        <v>105528</v>
      </c>
      <c r="H28" s="68"/>
      <c r="I28" s="68"/>
      <c r="J28" s="68"/>
      <c r="K28" s="69"/>
      <c r="L28" s="69"/>
      <c r="M28" s="70" t="s">
        <v>106442</v>
      </c>
      <c r="N28" s="71"/>
      <c r="O28" s="71"/>
      <c r="P28" s="72"/>
      <c r="Q28" s="72"/>
      <c r="R28" s="73">
        <f>+R29</f>
        <v>5000000</v>
      </c>
      <c r="S28" s="74"/>
      <c r="T28" s="75"/>
      <c r="U28" s="71"/>
      <c r="V28" s="362"/>
      <c r="W28" s="72"/>
      <c r="X28" s="72"/>
    </row>
    <row r="29" spans="1:24" x14ac:dyDescent="0.25">
      <c r="B29" s="100" t="s">
        <v>105516</v>
      </c>
      <c r="C29" s="100" t="s">
        <v>105573</v>
      </c>
      <c r="D29" s="100" t="s">
        <v>105573</v>
      </c>
      <c r="E29" s="100" t="s">
        <v>105520</v>
      </c>
      <c r="F29" s="100" t="s">
        <v>106438</v>
      </c>
      <c r="G29" s="100" t="s">
        <v>105528</v>
      </c>
      <c r="H29" s="100" t="s">
        <v>106100</v>
      </c>
      <c r="I29" s="100"/>
      <c r="J29" s="100"/>
      <c r="K29" s="101"/>
      <c r="L29" s="102"/>
      <c r="M29" s="103" t="s">
        <v>113320</v>
      </c>
      <c r="N29" s="104"/>
      <c r="O29" s="104"/>
      <c r="P29" s="105"/>
      <c r="Q29" s="105"/>
      <c r="R29" s="106">
        <f>+R30</f>
        <v>5000000</v>
      </c>
      <c r="S29" s="107"/>
      <c r="T29" s="96"/>
      <c r="U29" s="104"/>
      <c r="V29" s="364"/>
      <c r="W29" s="105"/>
      <c r="X29" s="105"/>
    </row>
    <row r="30" spans="1:24" ht="30" x14ac:dyDescent="0.25">
      <c r="B30" s="108"/>
      <c r="C30" s="109"/>
      <c r="D30" s="109"/>
      <c r="E30" s="109"/>
      <c r="F30" s="109"/>
      <c r="G30" s="109"/>
      <c r="H30" s="109"/>
      <c r="I30" s="109"/>
      <c r="J30" s="110"/>
      <c r="K30" s="86" t="s">
        <v>106441</v>
      </c>
      <c r="L30" s="87">
        <v>50201700</v>
      </c>
      <c r="M30" s="97" t="s">
        <v>113011</v>
      </c>
      <c r="N30" s="89">
        <v>45412</v>
      </c>
      <c r="O30" s="89" t="s">
        <v>113084</v>
      </c>
      <c r="P30" s="90" t="s">
        <v>113001</v>
      </c>
      <c r="Q30" s="90" t="s">
        <v>113006</v>
      </c>
      <c r="R30" s="91">
        <v>5000000</v>
      </c>
      <c r="S30" s="92"/>
      <c r="T30" s="93" t="s">
        <v>113010</v>
      </c>
      <c r="U30" s="300">
        <v>54024</v>
      </c>
      <c r="V30" s="301">
        <v>5000000</v>
      </c>
      <c r="W30" s="301"/>
      <c r="X30" s="302">
        <f>W30-R30</f>
        <v>-5000000</v>
      </c>
    </row>
    <row r="31" spans="1:24" ht="30" x14ac:dyDescent="0.25">
      <c r="B31" s="59" t="s">
        <v>105516</v>
      </c>
      <c r="C31" s="59" t="s">
        <v>105573</v>
      </c>
      <c r="D31" s="59" t="s">
        <v>105573</v>
      </c>
      <c r="E31" s="59" t="s">
        <v>105520</v>
      </c>
      <c r="F31" s="59" t="s">
        <v>105535</v>
      </c>
      <c r="G31" s="59"/>
      <c r="H31" s="59"/>
      <c r="I31" s="59"/>
      <c r="J31" s="59"/>
      <c r="K31" s="60"/>
      <c r="L31" s="61"/>
      <c r="M31" s="62" t="s">
        <v>106527</v>
      </c>
      <c r="N31" s="63"/>
      <c r="O31" s="63"/>
      <c r="P31" s="64"/>
      <c r="Q31" s="64"/>
      <c r="R31" s="65">
        <f>+R32+R37+R40</f>
        <v>368800000</v>
      </c>
      <c r="S31" s="66"/>
      <c r="T31" s="67"/>
      <c r="U31" s="63" t="s">
        <v>112994</v>
      </c>
      <c r="V31" s="361" t="s">
        <v>112994</v>
      </c>
      <c r="W31" s="64"/>
      <c r="X31" s="64"/>
    </row>
    <row r="32" spans="1:24" ht="30" x14ac:dyDescent="0.25">
      <c r="B32" s="338" t="s">
        <v>105516</v>
      </c>
      <c r="C32" s="338" t="s">
        <v>105573</v>
      </c>
      <c r="D32" s="338" t="s">
        <v>105573</v>
      </c>
      <c r="E32" s="338" t="s">
        <v>105520</v>
      </c>
      <c r="F32" s="338" t="s">
        <v>105535</v>
      </c>
      <c r="G32" s="338" t="s">
        <v>105538</v>
      </c>
      <c r="H32" s="68"/>
      <c r="I32" s="68"/>
      <c r="J32" s="68"/>
      <c r="K32" s="69"/>
      <c r="L32" s="69"/>
      <c r="M32" s="70" t="s">
        <v>106547</v>
      </c>
      <c r="N32" s="71"/>
      <c r="O32" s="71"/>
      <c r="P32" s="72"/>
      <c r="Q32" s="72"/>
      <c r="R32" s="73">
        <f>+R33+R35</f>
        <v>18000000</v>
      </c>
      <c r="S32" s="74"/>
      <c r="T32" s="75"/>
      <c r="U32" s="71" t="s">
        <v>112994</v>
      </c>
      <c r="V32" s="362" t="s">
        <v>112994</v>
      </c>
      <c r="W32" s="72"/>
      <c r="X32" s="72"/>
    </row>
    <row r="33" spans="2:24" x14ac:dyDescent="0.25">
      <c r="B33" s="76" t="s">
        <v>105516</v>
      </c>
      <c r="C33" s="76" t="s">
        <v>105573</v>
      </c>
      <c r="D33" s="76" t="s">
        <v>105573</v>
      </c>
      <c r="E33" s="76" t="s">
        <v>105520</v>
      </c>
      <c r="F33" s="76" t="s">
        <v>105535</v>
      </c>
      <c r="G33" s="76" t="s">
        <v>105538</v>
      </c>
      <c r="H33" s="76" t="s">
        <v>105924</v>
      </c>
      <c r="I33" s="76"/>
      <c r="J33" s="76"/>
      <c r="K33" s="76"/>
      <c r="L33" s="76"/>
      <c r="M33" s="78" t="s">
        <v>113321</v>
      </c>
      <c r="N33" s="79"/>
      <c r="O33" s="79"/>
      <c r="P33" s="80"/>
      <c r="Q33" s="80"/>
      <c r="R33" s="81">
        <f>+R34</f>
        <v>9000000</v>
      </c>
      <c r="S33" s="82"/>
      <c r="T33" s="96"/>
      <c r="U33" s="79"/>
      <c r="V33" s="363"/>
      <c r="W33" s="80"/>
      <c r="X33" s="80"/>
    </row>
    <row r="34" spans="2:24" ht="30" x14ac:dyDescent="0.25">
      <c r="B34" s="84"/>
      <c r="C34" s="85"/>
      <c r="D34" s="85"/>
      <c r="E34" s="85"/>
      <c r="F34" s="85"/>
      <c r="G34" s="85"/>
      <c r="H34" s="85"/>
      <c r="I34" s="85"/>
      <c r="J34" s="86"/>
      <c r="K34" s="86" t="s">
        <v>106546</v>
      </c>
      <c r="L34" s="87">
        <v>50161500</v>
      </c>
      <c r="M34" s="97" t="s">
        <v>113012</v>
      </c>
      <c r="N34" s="89">
        <v>45412</v>
      </c>
      <c r="O34" s="89" t="s">
        <v>113084</v>
      </c>
      <c r="P34" s="90" t="s">
        <v>113001</v>
      </c>
      <c r="Q34" s="90" t="s">
        <v>113006</v>
      </c>
      <c r="R34" s="91">
        <v>9000000</v>
      </c>
      <c r="S34" s="92"/>
      <c r="T34" s="93" t="s">
        <v>113010</v>
      </c>
      <c r="U34" s="300">
        <v>54024</v>
      </c>
      <c r="V34" s="301">
        <v>9000000</v>
      </c>
      <c r="W34" s="301"/>
      <c r="X34" s="302">
        <f>W34-R34</f>
        <v>-9000000</v>
      </c>
    </row>
    <row r="35" spans="2:24" x14ac:dyDescent="0.25">
      <c r="B35" s="76" t="s">
        <v>105516</v>
      </c>
      <c r="C35" s="76" t="s">
        <v>105573</v>
      </c>
      <c r="D35" s="76" t="s">
        <v>105573</v>
      </c>
      <c r="E35" s="76" t="s">
        <v>105520</v>
      </c>
      <c r="F35" s="76" t="s">
        <v>105535</v>
      </c>
      <c r="G35" s="76" t="s">
        <v>105538</v>
      </c>
      <c r="H35" s="76" t="s">
        <v>106106</v>
      </c>
      <c r="I35" s="76"/>
      <c r="J35" s="76"/>
      <c r="K35" s="76"/>
      <c r="L35" s="76"/>
      <c r="M35" s="78" t="s">
        <v>106563</v>
      </c>
      <c r="N35" s="79"/>
      <c r="O35" s="79"/>
      <c r="P35" s="80"/>
      <c r="Q35" s="80"/>
      <c r="R35" s="81">
        <f>+R36</f>
        <v>9000000</v>
      </c>
      <c r="S35" s="82"/>
      <c r="T35" s="96"/>
      <c r="U35" s="79"/>
      <c r="V35" s="363"/>
      <c r="W35" s="80"/>
      <c r="X35" s="80"/>
    </row>
    <row r="36" spans="2:24" ht="30" x14ac:dyDescent="0.25">
      <c r="B36" s="84"/>
      <c r="C36" s="85"/>
      <c r="D36" s="85"/>
      <c r="E36" s="85"/>
      <c r="F36" s="85"/>
      <c r="G36" s="85"/>
      <c r="H36" s="85"/>
      <c r="I36" s="85"/>
      <c r="J36" s="86"/>
      <c r="K36" s="86" t="s">
        <v>106546</v>
      </c>
      <c r="L36" s="51">
        <v>50161500</v>
      </c>
      <c r="M36" s="97" t="s">
        <v>113013</v>
      </c>
      <c r="N36" s="89">
        <v>45412</v>
      </c>
      <c r="O36" s="89" t="s">
        <v>113084</v>
      </c>
      <c r="P36" s="90" t="s">
        <v>113001</v>
      </c>
      <c r="Q36" s="90" t="s">
        <v>113006</v>
      </c>
      <c r="R36" s="91">
        <v>9000000</v>
      </c>
      <c r="S36" s="92"/>
      <c r="T36" s="93" t="s">
        <v>113010</v>
      </c>
      <c r="U36" s="300">
        <v>54024</v>
      </c>
      <c r="V36" s="301">
        <v>9000000</v>
      </c>
      <c r="W36" s="301"/>
      <c r="X36" s="302">
        <f>W36-R36</f>
        <v>-9000000</v>
      </c>
    </row>
    <row r="37" spans="2:24" ht="15" customHeight="1" x14ac:dyDescent="0.25">
      <c r="B37" s="338" t="s">
        <v>105516</v>
      </c>
      <c r="C37" s="338" t="s">
        <v>105573</v>
      </c>
      <c r="D37" s="338" t="s">
        <v>105573</v>
      </c>
      <c r="E37" s="338" t="s">
        <v>105520</v>
      </c>
      <c r="F37" s="338" t="s">
        <v>105535</v>
      </c>
      <c r="G37" s="338" t="s">
        <v>105550</v>
      </c>
      <c r="H37" s="68"/>
      <c r="I37" s="68"/>
      <c r="J37" s="68"/>
      <c r="K37" s="69"/>
      <c r="L37" s="69"/>
      <c r="M37" s="70" t="s">
        <v>106581</v>
      </c>
      <c r="N37" s="71"/>
      <c r="O37" s="71"/>
      <c r="P37" s="72"/>
      <c r="Q37" s="72"/>
      <c r="R37" s="73">
        <f>SUM(R38:R39)</f>
        <v>50800000</v>
      </c>
      <c r="S37" s="74"/>
      <c r="T37" s="75"/>
      <c r="U37" s="71" t="s">
        <v>112994</v>
      </c>
      <c r="V37" s="362" t="s">
        <v>112994</v>
      </c>
      <c r="W37" s="72"/>
      <c r="X37" s="72"/>
    </row>
    <row r="38" spans="2:24" ht="30" x14ac:dyDescent="0.25">
      <c r="B38" s="84"/>
      <c r="C38" s="85"/>
      <c r="D38" s="85"/>
      <c r="E38" s="85"/>
      <c r="F38" s="85"/>
      <c r="G38" s="85"/>
      <c r="H38" s="85"/>
      <c r="I38" s="85"/>
      <c r="J38" s="86"/>
      <c r="K38" s="86" t="s">
        <v>106580</v>
      </c>
      <c r="L38" s="51">
        <v>14121500</v>
      </c>
      <c r="M38" s="97" t="s">
        <v>113014</v>
      </c>
      <c r="N38" s="89">
        <v>45412</v>
      </c>
      <c r="O38" s="89" t="s">
        <v>113084</v>
      </c>
      <c r="P38" s="90" t="s">
        <v>113001</v>
      </c>
      <c r="Q38" s="90" t="s">
        <v>113006</v>
      </c>
      <c r="R38" s="91">
        <v>800000</v>
      </c>
      <c r="S38" s="92"/>
      <c r="T38" s="93" t="s">
        <v>113010</v>
      </c>
      <c r="U38" s="300">
        <v>54024</v>
      </c>
      <c r="V38" s="301">
        <v>800000</v>
      </c>
      <c r="W38" s="301"/>
      <c r="X38" s="302">
        <f>W38-R38</f>
        <v>-800000</v>
      </c>
    </row>
    <row r="39" spans="2:24" ht="54" customHeight="1" x14ac:dyDescent="0.25">
      <c r="B39" s="84"/>
      <c r="C39" s="85"/>
      <c r="D39" s="85"/>
      <c r="E39" s="85"/>
      <c r="F39" s="85"/>
      <c r="G39" s="85"/>
      <c r="H39" s="85"/>
      <c r="I39" s="85"/>
      <c r="J39" s="86"/>
      <c r="K39" s="86" t="s">
        <v>106580</v>
      </c>
      <c r="L39" s="87" t="s">
        <v>113208</v>
      </c>
      <c r="M39" s="97" t="s">
        <v>113015</v>
      </c>
      <c r="N39" s="89">
        <v>45474</v>
      </c>
      <c r="O39" s="89" t="s">
        <v>112996</v>
      </c>
      <c r="P39" s="90" t="s">
        <v>113137</v>
      </c>
      <c r="Q39" s="90" t="s">
        <v>112998</v>
      </c>
      <c r="R39" s="295">
        <v>50000000</v>
      </c>
      <c r="S39" s="92"/>
      <c r="T39" s="93" t="s">
        <v>113017</v>
      </c>
      <c r="U39" s="300">
        <v>59624</v>
      </c>
      <c r="V39" s="301">
        <v>50000000</v>
      </c>
      <c r="W39" s="301"/>
      <c r="X39" s="302">
        <f>W39-R39</f>
        <v>-50000000</v>
      </c>
    </row>
    <row r="40" spans="2:24" x14ac:dyDescent="0.25">
      <c r="B40" s="338" t="s">
        <v>105516</v>
      </c>
      <c r="C40" s="338" t="s">
        <v>105573</v>
      </c>
      <c r="D40" s="338" t="s">
        <v>105573</v>
      </c>
      <c r="E40" s="338" t="s">
        <v>105520</v>
      </c>
      <c r="F40" s="338" t="s">
        <v>105535</v>
      </c>
      <c r="G40" s="338" t="s">
        <v>105553</v>
      </c>
      <c r="H40" s="68"/>
      <c r="I40" s="68"/>
      <c r="J40" s="68"/>
      <c r="K40" s="69"/>
      <c r="L40" s="69"/>
      <c r="M40" s="70" t="s">
        <v>106583</v>
      </c>
      <c r="N40" s="71"/>
      <c r="O40" s="71"/>
      <c r="P40" s="72"/>
      <c r="Q40" s="72"/>
      <c r="R40" s="73">
        <f>SUM(R41:R42)</f>
        <v>300000000</v>
      </c>
      <c r="S40" s="74"/>
      <c r="T40" s="75"/>
      <c r="U40" s="71" t="s">
        <v>112994</v>
      </c>
      <c r="V40" s="362" t="s">
        <v>112994</v>
      </c>
      <c r="W40" s="72"/>
      <c r="X40" s="72"/>
    </row>
    <row r="41" spans="2:24" ht="45" x14ac:dyDescent="0.25">
      <c r="B41" s="84"/>
      <c r="C41" s="85"/>
      <c r="D41" s="85"/>
      <c r="E41" s="85"/>
      <c r="F41" s="85"/>
      <c r="G41" s="85"/>
      <c r="H41" s="85"/>
      <c r="I41" s="85"/>
      <c r="J41" s="86"/>
      <c r="K41" s="86" t="s">
        <v>106582</v>
      </c>
      <c r="L41" s="87" t="s">
        <v>113018</v>
      </c>
      <c r="M41" s="97" t="s">
        <v>113019</v>
      </c>
      <c r="N41" s="89">
        <v>45488</v>
      </c>
      <c r="O41" s="89" t="s">
        <v>112996</v>
      </c>
      <c r="P41" s="90" t="s">
        <v>113137</v>
      </c>
      <c r="Q41" s="90" t="s">
        <v>113036</v>
      </c>
      <c r="R41" s="91">
        <v>100000000</v>
      </c>
      <c r="S41" s="92"/>
      <c r="T41" s="93" t="s">
        <v>113010</v>
      </c>
      <c r="U41" s="300">
        <v>33024</v>
      </c>
      <c r="V41" s="301">
        <v>100000000</v>
      </c>
      <c r="W41" s="301">
        <v>1685501</v>
      </c>
      <c r="X41" s="302">
        <f>W41-R41</f>
        <v>-98314499</v>
      </c>
    </row>
    <row r="42" spans="2:24" ht="45" customHeight="1" x14ac:dyDescent="0.25">
      <c r="B42" s="84"/>
      <c r="C42" s="85"/>
      <c r="D42" s="85"/>
      <c r="E42" s="85"/>
      <c r="F42" s="85"/>
      <c r="G42" s="85"/>
      <c r="H42" s="85"/>
      <c r="I42" s="85"/>
      <c r="J42" s="86"/>
      <c r="K42" s="86" t="s">
        <v>106582</v>
      </c>
      <c r="L42" s="87" t="s">
        <v>113208</v>
      </c>
      <c r="M42" s="97" t="s">
        <v>113021</v>
      </c>
      <c r="N42" s="89">
        <v>45474</v>
      </c>
      <c r="O42" s="89" t="s">
        <v>112996</v>
      </c>
      <c r="P42" s="90" t="s">
        <v>113137</v>
      </c>
      <c r="Q42" s="90" t="s">
        <v>112998</v>
      </c>
      <c r="R42" s="295">
        <v>200000000</v>
      </c>
      <c r="S42" s="92"/>
      <c r="T42" s="93" t="s">
        <v>113017</v>
      </c>
      <c r="U42" s="300">
        <v>59624</v>
      </c>
      <c r="V42" s="301">
        <v>200000000</v>
      </c>
      <c r="W42" s="301"/>
      <c r="X42" s="302">
        <f>W42-R42</f>
        <v>-200000000</v>
      </c>
    </row>
    <row r="43" spans="2:24" ht="30" x14ac:dyDescent="0.25">
      <c r="B43" s="59" t="s">
        <v>105516</v>
      </c>
      <c r="C43" s="59" t="s">
        <v>105573</v>
      </c>
      <c r="D43" s="59" t="s">
        <v>105573</v>
      </c>
      <c r="E43" s="59" t="s">
        <v>105520</v>
      </c>
      <c r="F43" s="59" t="s">
        <v>105538</v>
      </c>
      <c r="G43" s="59"/>
      <c r="H43" s="59"/>
      <c r="I43" s="59"/>
      <c r="J43" s="59"/>
      <c r="K43" s="60"/>
      <c r="L43" s="61"/>
      <c r="M43" s="62" t="s">
        <v>106589</v>
      </c>
      <c r="N43" s="63"/>
      <c r="O43" s="63"/>
      <c r="P43" s="64"/>
      <c r="Q43" s="64"/>
      <c r="R43" s="65">
        <f>+R44+R50+R55+R60+R67</f>
        <v>331800000</v>
      </c>
      <c r="S43" s="66"/>
      <c r="T43" s="67"/>
      <c r="U43" s="63" t="s">
        <v>112994</v>
      </c>
      <c r="V43" s="361" t="s">
        <v>112994</v>
      </c>
      <c r="W43" s="64"/>
      <c r="X43" s="64"/>
    </row>
    <row r="44" spans="2:24" ht="30" x14ac:dyDescent="0.25">
      <c r="B44" s="338" t="s">
        <v>105516</v>
      </c>
      <c r="C44" s="338" t="s">
        <v>105573</v>
      </c>
      <c r="D44" s="338" t="s">
        <v>105573</v>
      </c>
      <c r="E44" s="338" t="s">
        <v>105520</v>
      </c>
      <c r="F44" s="338" t="s">
        <v>105538</v>
      </c>
      <c r="G44" s="338" t="s">
        <v>105535</v>
      </c>
      <c r="H44" s="68"/>
      <c r="I44" s="68"/>
      <c r="J44" s="68"/>
      <c r="K44" s="69"/>
      <c r="L44" s="69"/>
      <c r="M44" s="70" t="s">
        <v>113322</v>
      </c>
      <c r="N44" s="71"/>
      <c r="O44" s="71"/>
      <c r="P44" s="72"/>
      <c r="Q44" s="72"/>
      <c r="R44" s="73">
        <f>+R45+R48</f>
        <v>67000000</v>
      </c>
      <c r="S44" s="74"/>
      <c r="T44" s="75"/>
      <c r="U44" s="71" t="s">
        <v>112994</v>
      </c>
      <c r="V44" s="362" t="s">
        <v>112994</v>
      </c>
      <c r="W44" s="72"/>
      <c r="X44" s="72"/>
    </row>
    <row r="45" spans="2:24" x14ac:dyDescent="0.25">
      <c r="B45" s="76" t="s">
        <v>105516</v>
      </c>
      <c r="C45" s="76" t="s">
        <v>105573</v>
      </c>
      <c r="D45" s="76" t="s">
        <v>105573</v>
      </c>
      <c r="E45" s="76" t="s">
        <v>105520</v>
      </c>
      <c r="F45" s="76" t="s">
        <v>105538</v>
      </c>
      <c r="G45" s="76" t="s">
        <v>105535</v>
      </c>
      <c r="H45" s="76" t="s">
        <v>105520</v>
      </c>
      <c r="I45" s="76"/>
      <c r="J45" s="76"/>
      <c r="K45" s="76"/>
      <c r="L45" s="76"/>
      <c r="M45" s="78" t="s">
        <v>106595</v>
      </c>
      <c r="N45" s="79"/>
      <c r="O45" s="79"/>
      <c r="P45" s="80"/>
      <c r="Q45" s="80"/>
      <c r="R45" s="81">
        <f>SUM(R46:R47)</f>
        <v>61500000</v>
      </c>
      <c r="S45" s="82"/>
      <c r="T45" s="96"/>
      <c r="U45" s="79"/>
      <c r="V45" s="363"/>
      <c r="W45" s="80"/>
      <c r="X45" s="80"/>
    </row>
    <row r="46" spans="2:24" ht="30" customHeight="1" x14ac:dyDescent="0.25">
      <c r="B46" s="84"/>
      <c r="C46" s="85"/>
      <c r="D46" s="85"/>
      <c r="E46" s="85"/>
      <c r="F46" s="85"/>
      <c r="G46" s="85"/>
      <c r="H46" s="85"/>
      <c r="I46" s="85"/>
      <c r="J46" s="86"/>
      <c r="K46" s="86" t="s">
        <v>106592</v>
      </c>
      <c r="L46" s="87" t="s">
        <v>113022</v>
      </c>
      <c r="M46" s="97" t="s">
        <v>113023</v>
      </c>
      <c r="N46" s="89">
        <v>45412</v>
      </c>
      <c r="O46" s="89" t="s">
        <v>113084</v>
      </c>
      <c r="P46" s="90" t="s">
        <v>113001</v>
      </c>
      <c r="Q46" s="90" t="s">
        <v>113006</v>
      </c>
      <c r="R46" s="91">
        <v>16500000</v>
      </c>
      <c r="S46" s="92"/>
      <c r="T46" s="93" t="s">
        <v>113010</v>
      </c>
      <c r="U46" s="300">
        <v>54024</v>
      </c>
      <c r="V46" s="301">
        <v>16500000</v>
      </c>
      <c r="W46" s="301"/>
      <c r="X46" s="302">
        <f>W46-R46</f>
        <v>-16500000</v>
      </c>
    </row>
    <row r="47" spans="2:24" ht="45" customHeight="1" x14ac:dyDescent="0.25">
      <c r="B47" s="84"/>
      <c r="C47" s="85"/>
      <c r="D47" s="85"/>
      <c r="E47" s="85"/>
      <c r="F47" s="85"/>
      <c r="G47" s="85"/>
      <c r="H47" s="85"/>
      <c r="I47" s="85"/>
      <c r="J47" s="86"/>
      <c r="K47" s="86" t="s">
        <v>106592</v>
      </c>
      <c r="L47" s="87" t="s">
        <v>113024</v>
      </c>
      <c r="M47" s="88" t="s">
        <v>113025</v>
      </c>
      <c r="N47" s="89">
        <v>45381</v>
      </c>
      <c r="O47" s="89" t="s">
        <v>113004</v>
      </c>
      <c r="P47" s="90" t="s">
        <v>113026</v>
      </c>
      <c r="Q47" s="90" t="s">
        <v>113006</v>
      </c>
      <c r="R47" s="91">
        <v>45000000</v>
      </c>
      <c r="S47" s="92"/>
      <c r="T47" s="93" t="s">
        <v>113027</v>
      </c>
      <c r="U47" s="300">
        <v>30224</v>
      </c>
      <c r="V47" s="301">
        <v>45000000</v>
      </c>
      <c r="W47" s="301">
        <v>45000000</v>
      </c>
      <c r="X47" s="302">
        <f>W47-R47</f>
        <v>0</v>
      </c>
    </row>
    <row r="48" spans="2:24" ht="30" x14ac:dyDescent="0.25">
      <c r="B48" s="76" t="s">
        <v>105516</v>
      </c>
      <c r="C48" s="76" t="s">
        <v>105573</v>
      </c>
      <c r="D48" s="76" t="s">
        <v>105573</v>
      </c>
      <c r="E48" s="76" t="s">
        <v>105520</v>
      </c>
      <c r="F48" s="76" t="s">
        <v>105538</v>
      </c>
      <c r="G48" s="76" t="s">
        <v>105535</v>
      </c>
      <c r="H48" s="76" t="s">
        <v>105917</v>
      </c>
      <c r="I48" s="76"/>
      <c r="J48" s="76"/>
      <c r="K48" s="76"/>
      <c r="L48" s="76"/>
      <c r="M48" s="78" t="s">
        <v>106601</v>
      </c>
      <c r="N48" s="79"/>
      <c r="O48" s="79"/>
      <c r="P48" s="80"/>
      <c r="Q48" s="80"/>
      <c r="R48" s="81">
        <f>SUM(R49:R49)</f>
        <v>5500000</v>
      </c>
      <c r="S48" s="82"/>
      <c r="T48" s="96"/>
      <c r="U48" s="79"/>
      <c r="V48" s="363"/>
      <c r="W48" s="80"/>
      <c r="X48" s="80"/>
    </row>
    <row r="49" spans="2:24" ht="42" customHeight="1" x14ac:dyDescent="0.25">
      <c r="B49" s="84"/>
      <c r="C49" s="85"/>
      <c r="D49" s="85"/>
      <c r="E49" s="85"/>
      <c r="F49" s="85"/>
      <c r="G49" s="85"/>
      <c r="H49" s="85"/>
      <c r="I49" s="85"/>
      <c r="J49" s="86"/>
      <c r="K49" s="86" t="s">
        <v>106592</v>
      </c>
      <c r="L49" s="51"/>
      <c r="M49" s="88" t="s">
        <v>113028</v>
      </c>
      <c r="N49" s="89" t="s">
        <v>113029</v>
      </c>
      <c r="O49" s="89" t="s">
        <v>113029</v>
      </c>
      <c r="P49" s="89" t="s">
        <v>113029</v>
      </c>
      <c r="Q49" s="89" t="s">
        <v>113029</v>
      </c>
      <c r="R49" s="91">
        <v>5500000</v>
      </c>
      <c r="S49" s="92"/>
      <c r="T49" s="93" t="s">
        <v>113030</v>
      </c>
      <c r="U49" s="304" t="s">
        <v>113301</v>
      </c>
      <c r="V49" s="301">
        <f>1598398+62951</f>
        <v>1661349</v>
      </c>
      <c r="W49" s="301">
        <v>1661339</v>
      </c>
      <c r="X49" s="302">
        <f>W49-R49</f>
        <v>-3838661</v>
      </c>
    </row>
    <row r="50" spans="2:24" ht="30" x14ac:dyDescent="0.25">
      <c r="B50" s="338" t="s">
        <v>105516</v>
      </c>
      <c r="C50" s="338" t="s">
        <v>105573</v>
      </c>
      <c r="D50" s="338" t="s">
        <v>105573</v>
      </c>
      <c r="E50" s="338" t="s">
        <v>105520</v>
      </c>
      <c r="F50" s="338" t="s">
        <v>105538</v>
      </c>
      <c r="G50" s="338" t="s">
        <v>105538</v>
      </c>
      <c r="H50" s="68"/>
      <c r="I50" s="68"/>
      <c r="J50" s="68"/>
      <c r="K50" s="69"/>
      <c r="L50" s="69"/>
      <c r="M50" s="70" t="s">
        <v>106611</v>
      </c>
      <c r="N50" s="71"/>
      <c r="O50" s="71"/>
      <c r="P50" s="72"/>
      <c r="Q50" s="72"/>
      <c r="R50" s="73">
        <f>+R51+R53</f>
        <v>50000000</v>
      </c>
      <c r="S50" s="74"/>
      <c r="T50" s="75"/>
      <c r="U50" s="71" t="s">
        <v>112994</v>
      </c>
      <c r="V50" s="362" t="s">
        <v>112994</v>
      </c>
      <c r="W50" s="72"/>
      <c r="X50" s="72"/>
    </row>
    <row r="51" spans="2:24" ht="60" x14ac:dyDescent="0.25">
      <c r="B51" s="76" t="s">
        <v>105516</v>
      </c>
      <c r="C51" s="76" t="s">
        <v>105573</v>
      </c>
      <c r="D51" s="76" t="s">
        <v>105573</v>
      </c>
      <c r="E51" s="76" t="s">
        <v>105520</v>
      </c>
      <c r="F51" s="76" t="s">
        <v>105538</v>
      </c>
      <c r="G51" s="76" t="s">
        <v>105538</v>
      </c>
      <c r="H51" s="76" t="s">
        <v>105675</v>
      </c>
      <c r="I51" s="76"/>
      <c r="J51" s="76"/>
      <c r="K51" s="76"/>
      <c r="L51" s="76"/>
      <c r="M51" s="78" t="s">
        <v>106617</v>
      </c>
      <c r="N51" s="79"/>
      <c r="O51" s="79"/>
      <c r="P51" s="80"/>
      <c r="Q51" s="80"/>
      <c r="R51" s="81">
        <f>+R52</f>
        <v>10000000</v>
      </c>
      <c r="S51" s="82"/>
      <c r="T51" s="96"/>
      <c r="U51" s="79"/>
      <c r="V51" s="363"/>
      <c r="W51" s="80"/>
      <c r="X51" s="80"/>
    </row>
    <row r="52" spans="2:24" ht="30" x14ac:dyDescent="0.25">
      <c r="B52" s="84"/>
      <c r="C52" s="85"/>
      <c r="D52" s="85"/>
      <c r="E52" s="85"/>
      <c r="F52" s="85"/>
      <c r="G52" s="85"/>
      <c r="H52" s="85"/>
      <c r="I52" s="85"/>
      <c r="J52" s="86"/>
      <c r="K52" s="86" t="s">
        <v>106610</v>
      </c>
      <c r="L52" s="51">
        <v>15121500</v>
      </c>
      <c r="M52" s="88" t="s">
        <v>113031</v>
      </c>
      <c r="N52" s="89">
        <v>45319</v>
      </c>
      <c r="O52" s="89" t="s">
        <v>113035</v>
      </c>
      <c r="P52" s="90" t="s">
        <v>113020</v>
      </c>
      <c r="Q52" s="90" t="s">
        <v>113032</v>
      </c>
      <c r="R52" s="91">
        <v>10000000</v>
      </c>
      <c r="S52" s="92"/>
      <c r="T52" s="93" t="s">
        <v>113033</v>
      </c>
      <c r="U52" s="300">
        <v>52524</v>
      </c>
      <c r="V52" s="301">
        <v>10000000</v>
      </c>
      <c r="W52" s="301"/>
      <c r="X52" s="302">
        <f>W52-R52</f>
        <v>-10000000</v>
      </c>
    </row>
    <row r="53" spans="2:24" ht="30" x14ac:dyDescent="0.25">
      <c r="B53" s="76" t="s">
        <v>105516</v>
      </c>
      <c r="C53" s="76" t="s">
        <v>105573</v>
      </c>
      <c r="D53" s="76" t="s">
        <v>105573</v>
      </c>
      <c r="E53" s="76" t="s">
        <v>105520</v>
      </c>
      <c r="F53" s="76" t="s">
        <v>105538</v>
      </c>
      <c r="G53" s="76" t="s">
        <v>105538</v>
      </c>
      <c r="H53" s="76" t="s">
        <v>105917</v>
      </c>
      <c r="I53" s="76"/>
      <c r="J53" s="76"/>
      <c r="K53" s="76"/>
      <c r="L53" s="76"/>
      <c r="M53" s="78" t="s">
        <v>106619</v>
      </c>
      <c r="N53" s="79"/>
      <c r="O53" s="79"/>
      <c r="P53" s="80"/>
      <c r="Q53" s="80"/>
      <c r="R53" s="81">
        <f>+R54</f>
        <v>40000000</v>
      </c>
      <c r="S53" s="82"/>
      <c r="T53" s="96"/>
      <c r="U53" s="79"/>
      <c r="V53" s="363"/>
      <c r="W53" s="80"/>
      <c r="X53" s="80"/>
    </row>
    <row r="54" spans="2:24" ht="30" x14ac:dyDescent="0.25">
      <c r="B54" s="84"/>
      <c r="C54" s="85"/>
      <c r="D54" s="85"/>
      <c r="E54" s="85"/>
      <c r="F54" s="85"/>
      <c r="G54" s="85"/>
      <c r="H54" s="85"/>
      <c r="I54" s="85"/>
      <c r="J54" s="86"/>
      <c r="K54" s="86" t="s">
        <v>106610</v>
      </c>
      <c r="L54" s="51">
        <v>15121500</v>
      </c>
      <c r="M54" s="95" t="s">
        <v>113034</v>
      </c>
      <c r="N54" s="89">
        <v>45306</v>
      </c>
      <c r="O54" s="89" t="s">
        <v>113058</v>
      </c>
      <c r="P54" s="90" t="s">
        <v>113165</v>
      </c>
      <c r="Q54" s="90" t="s">
        <v>113036</v>
      </c>
      <c r="R54" s="91">
        <v>40000000</v>
      </c>
      <c r="S54" s="92"/>
      <c r="T54" s="93" t="s">
        <v>113033</v>
      </c>
      <c r="U54" s="300">
        <v>8324</v>
      </c>
      <c r="V54" s="301">
        <v>40000000</v>
      </c>
      <c r="W54" s="301">
        <v>40000000</v>
      </c>
      <c r="X54" s="302">
        <f>W54-R54</f>
        <v>0</v>
      </c>
    </row>
    <row r="55" spans="2:24" ht="30" x14ac:dyDescent="0.25">
      <c r="B55" s="338" t="s">
        <v>105516</v>
      </c>
      <c r="C55" s="338" t="s">
        <v>105573</v>
      </c>
      <c r="D55" s="338" t="s">
        <v>105573</v>
      </c>
      <c r="E55" s="338" t="s">
        <v>105520</v>
      </c>
      <c r="F55" s="338" t="s">
        <v>105538</v>
      </c>
      <c r="G55" s="338" t="s">
        <v>105544</v>
      </c>
      <c r="H55" s="68"/>
      <c r="I55" s="68"/>
      <c r="J55" s="68"/>
      <c r="K55" s="69"/>
      <c r="L55" s="69"/>
      <c r="M55" s="70" t="s">
        <v>106645</v>
      </c>
      <c r="N55" s="71"/>
      <c r="O55" s="71"/>
      <c r="P55" s="72"/>
      <c r="Q55" s="72"/>
      <c r="R55" s="73">
        <f>+R56+R58</f>
        <v>80000000</v>
      </c>
      <c r="S55" s="74"/>
      <c r="T55" s="75"/>
      <c r="U55" s="71" t="s">
        <v>112994</v>
      </c>
      <c r="V55" s="362" t="s">
        <v>112994</v>
      </c>
      <c r="W55" s="72"/>
      <c r="X55" s="72"/>
    </row>
    <row r="56" spans="2:24" ht="30" x14ac:dyDescent="0.25">
      <c r="B56" s="76" t="s">
        <v>105516</v>
      </c>
      <c r="C56" s="76" t="s">
        <v>105573</v>
      </c>
      <c r="D56" s="76" t="s">
        <v>105573</v>
      </c>
      <c r="E56" s="76" t="s">
        <v>105520</v>
      </c>
      <c r="F56" s="76" t="s">
        <v>105538</v>
      </c>
      <c r="G56" s="76" t="s">
        <v>105544</v>
      </c>
      <c r="H56" s="77" t="s">
        <v>105520</v>
      </c>
      <c r="I56" s="76"/>
      <c r="J56" s="76"/>
      <c r="K56" s="76"/>
      <c r="L56" s="76"/>
      <c r="M56" s="78" t="s">
        <v>106647</v>
      </c>
      <c r="N56" s="79"/>
      <c r="O56" s="79"/>
      <c r="P56" s="80"/>
      <c r="Q56" s="80"/>
      <c r="R56" s="81">
        <f>+R57</f>
        <v>65000000</v>
      </c>
      <c r="S56" s="82"/>
      <c r="T56" s="96"/>
      <c r="U56" s="79"/>
      <c r="V56" s="363"/>
      <c r="W56" s="80"/>
      <c r="X56" s="80"/>
    </row>
    <row r="57" spans="2:24" ht="37.5" customHeight="1" x14ac:dyDescent="0.25">
      <c r="B57" s="84"/>
      <c r="C57" s="85"/>
      <c r="D57" s="85"/>
      <c r="E57" s="85"/>
      <c r="F57" s="85"/>
      <c r="G57" s="85"/>
      <c r="H57" s="85"/>
      <c r="I57" s="85"/>
      <c r="J57" s="86"/>
      <c r="K57" s="86" t="s">
        <v>106644</v>
      </c>
      <c r="L57" s="87">
        <v>44103100</v>
      </c>
      <c r="M57" s="88" t="s">
        <v>113037</v>
      </c>
      <c r="N57" s="89">
        <v>45352</v>
      </c>
      <c r="O57" s="89" t="s">
        <v>113004</v>
      </c>
      <c r="P57" s="90" t="s">
        <v>113038</v>
      </c>
      <c r="Q57" s="90" t="s">
        <v>113274</v>
      </c>
      <c r="R57" s="91">
        <v>65000000</v>
      </c>
      <c r="S57" s="92"/>
      <c r="T57" s="93" t="s">
        <v>113002</v>
      </c>
      <c r="U57" s="300">
        <v>30224</v>
      </c>
      <c r="V57" s="301">
        <v>65000000</v>
      </c>
      <c r="W57" s="301">
        <v>65000000</v>
      </c>
      <c r="X57" s="302">
        <f>W57-R57</f>
        <v>0</v>
      </c>
    </row>
    <row r="58" spans="2:24" ht="30" x14ac:dyDescent="0.25">
      <c r="B58" s="76" t="s">
        <v>105516</v>
      </c>
      <c r="C58" s="76" t="s">
        <v>105573</v>
      </c>
      <c r="D58" s="76" t="s">
        <v>105573</v>
      </c>
      <c r="E58" s="76" t="s">
        <v>105520</v>
      </c>
      <c r="F58" s="76" t="s">
        <v>105538</v>
      </c>
      <c r="G58" s="76" t="s">
        <v>105544</v>
      </c>
      <c r="H58" s="76" t="s">
        <v>105675</v>
      </c>
      <c r="I58" s="76"/>
      <c r="J58" s="76"/>
      <c r="K58" s="76"/>
      <c r="L58" s="76"/>
      <c r="M58" s="78" t="s">
        <v>106651</v>
      </c>
      <c r="N58" s="79"/>
      <c r="O58" s="79"/>
      <c r="P58" s="80"/>
      <c r="Q58" s="80"/>
      <c r="R58" s="81">
        <f>+R59</f>
        <v>15000000</v>
      </c>
      <c r="S58" s="82"/>
      <c r="T58" s="96"/>
      <c r="U58" s="79"/>
      <c r="V58" s="363"/>
      <c r="W58" s="80"/>
      <c r="X58" s="80"/>
    </row>
    <row r="59" spans="2:24" ht="30" x14ac:dyDescent="0.25">
      <c r="B59" s="84"/>
      <c r="C59" s="85"/>
      <c r="D59" s="85"/>
      <c r="E59" s="85"/>
      <c r="F59" s="85"/>
      <c r="G59" s="85"/>
      <c r="H59" s="85"/>
      <c r="I59" s="85"/>
      <c r="J59" s="86"/>
      <c r="K59" s="86" t="s">
        <v>106644</v>
      </c>
      <c r="L59" s="87" t="s">
        <v>113040</v>
      </c>
      <c r="M59" s="88" t="s">
        <v>113041</v>
      </c>
      <c r="N59" s="89">
        <v>45412</v>
      </c>
      <c r="O59" s="89" t="s">
        <v>113084</v>
      </c>
      <c r="P59" s="90" t="s">
        <v>113038</v>
      </c>
      <c r="Q59" s="90" t="s">
        <v>113006</v>
      </c>
      <c r="R59" s="91">
        <v>15000000</v>
      </c>
      <c r="S59" s="92"/>
      <c r="T59" s="93" t="s">
        <v>113010</v>
      </c>
      <c r="U59" s="300">
        <v>54024</v>
      </c>
      <c r="V59" s="301">
        <v>15000000</v>
      </c>
      <c r="W59" s="301"/>
      <c r="X59" s="302">
        <f>W59-R59</f>
        <v>-15000000</v>
      </c>
    </row>
    <row r="60" spans="2:24" x14ac:dyDescent="0.25">
      <c r="B60" s="338" t="s">
        <v>105516</v>
      </c>
      <c r="C60" s="338" t="s">
        <v>105573</v>
      </c>
      <c r="D60" s="338" t="s">
        <v>105573</v>
      </c>
      <c r="E60" s="338" t="s">
        <v>105520</v>
      </c>
      <c r="F60" s="338" t="s">
        <v>105538</v>
      </c>
      <c r="G60" s="338" t="s">
        <v>105547</v>
      </c>
      <c r="H60" s="68"/>
      <c r="I60" s="68"/>
      <c r="J60" s="68"/>
      <c r="K60" s="69"/>
      <c r="L60" s="69"/>
      <c r="M60" s="70" t="s">
        <v>106657</v>
      </c>
      <c r="N60" s="71"/>
      <c r="O60" s="71"/>
      <c r="P60" s="72"/>
      <c r="Q60" s="72"/>
      <c r="R60" s="73">
        <f>+R61+R63+R65</f>
        <v>105000000</v>
      </c>
      <c r="S60" s="74"/>
      <c r="T60" s="75"/>
      <c r="U60" s="71" t="s">
        <v>112994</v>
      </c>
      <c r="V60" s="362" t="s">
        <v>112994</v>
      </c>
      <c r="W60" s="72"/>
      <c r="X60" s="72"/>
    </row>
    <row r="61" spans="2:24" x14ac:dyDescent="0.25">
      <c r="B61" s="76" t="s">
        <v>105516</v>
      </c>
      <c r="C61" s="76" t="s">
        <v>105573</v>
      </c>
      <c r="D61" s="76" t="s">
        <v>105573</v>
      </c>
      <c r="E61" s="76" t="s">
        <v>105520</v>
      </c>
      <c r="F61" s="76" t="s">
        <v>105538</v>
      </c>
      <c r="G61" s="76" t="s">
        <v>105547</v>
      </c>
      <c r="H61" s="76" t="s">
        <v>105520</v>
      </c>
      <c r="I61" s="76"/>
      <c r="J61" s="76"/>
      <c r="K61" s="76"/>
      <c r="L61" s="76"/>
      <c r="M61" s="78" t="s">
        <v>106659</v>
      </c>
      <c r="N61" s="79"/>
      <c r="O61" s="79"/>
      <c r="P61" s="80"/>
      <c r="Q61" s="80"/>
      <c r="R61" s="81">
        <f>+R62</f>
        <v>10000000</v>
      </c>
      <c r="S61" s="82"/>
      <c r="T61" s="96"/>
      <c r="U61" s="79"/>
      <c r="V61" s="363"/>
      <c r="W61" s="80"/>
      <c r="X61" s="80"/>
    </row>
    <row r="62" spans="2:24" ht="30" x14ac:dyDescent="0.25">
      <c r="B62" s="84"/>
      <c r="C62" s="85"/>
      <c r="D62" s="85"/>
      <c r="E62" s="85"/>
      <c r="F62" s="85"/>
      <c r="G62" s="85"/>
      <c r="H62" s="85"/>
      <c r="I62" s="85"/>
      <c r="J62" s="86"/>
      <c r="K62" s="86" t="s">
        <v>106656</v>
      </c>
      <c r="L62" s="51">
        <v>25172500</v>
      </c>
      <c r="M62" s="88" t="s">
        <v>113042</v>
      </c>
      <c r="N62" s="89">
        <v>45337</v>
      </c>
      <c r="O62" s="89" t="s">
        <v>113000</v>
      </c>
      <c r="P62" s="90" t="s">
        <v>113166</v>
      </c>
      <c r="Q62" s="90" t="s">
        <v>113273</v>
      </c>
      <c r="R62" s="91">
        <v>10000000</v>
      </c>
      <c r="S62" s="92"/>
      <c r="T62" s="93" t="s">
        <v>113033</v>
      </c>
      <c r="U62" s="300">
        <v>52624</v>
      </c>
      <c r="V62" s="301">
        <v>10000000</v>
      </c>
      <c r="W62" s="301"/>
      <c r="X62" s="302">
        <f>W62-R62</f>
        <v>-10000000</v>
      </c>
    </row>
    <row r="63" spans="2:24" x14ac:dyDescent="0.25">
      <c r="B63" s="76" t="s">
        <v>105516</v>
      </c>
      <c r="C63" s="76" t="s">
        <v>105573</v>
      </c>
      <c r="D63" s="76" t="s">
        <v>105573</v>
      </c>
      <c r="E63" s="76" t="s">
        <v>105520</v>
      </c>
      <c r="F63" s="76" t="s">
        <v>105538</v>
      </c>
      <c r="G63" s="76" t="s">
        <v>105547</v>
      </c>
      <c r="H63" s="76" t="s">
        <v>105573</v>
      </c>
      <c r="I63" s="76"/>
      <c r="J63" s="76"/>
      <c r="K63" s="76"/>
      <c r="L63" s="76"/>
      <c r="M63" s="78" t="s">
        <v>106661</v>
      </c>
      <c r="N63" s="79"/>
      <c r="O63" s="79"/>
      <c r="P63" s="80"/>
      <c r="Q63" s="80"/>
      <c r="R63" s="81">
        <f>+R64</f>
        <v>85000000</v>
      </c>
      <c r="S63" s="82"/>
      <c r="T63" s="96"/>
      <c r="U63" s="79"/>
      <c r="V63" s="363"/>
      <c r="W63" s="80"/>
      <c r="X63" s="80"/>
    </row>
    <row r="64" spans="2:24" ht="40.5" customHeight="1" x14ac:dyDescent="0.25">
      <c r="B64" s="84"/>
      <c r="C64" s="85"/>
      <c r="D64" s="85"/>
      <c r="E64" s="85"/>
      <c r="F64" s="85"/>
      <c r="G64" s="85"/>
      <c r="H64" s="85"/>
      <c r="I64" s="85"/>
      <c r="J64" s="86"/>
      <c r="K64" s="86" t="s">
        <v>106656</v>
      </c>
      <c r="L64" s="112" t="s">
        <v>113208</v>
      </c>
      <c r="M64" s="113" t="s">
        <v>113044</v>
      </c>
      <c r="N64" s="89">
        <v>45474</v>
      </c>
      <c r="O64" s="89" t="s">
        <v>112996</v>
      </c>
      <c r="P64" s="90" t="s">
        <v>113137</v>
      </c>
      <c r="Q64" s="90" t="s">
        <v>112998</v>
      </c>
      <c r="R64" s="295">
        <v>85000000</v>
      </c>
      <c r="S64" s="92"/>
      <c r="T64" s="93" t="s">
        <v>113017</v>
      </c>
      <c r="U64" s="300">
        <v>59624</v>
      </c>
      <c r="V64" s="301">
        <v>85000000</v>
      </c>
      <c r="W64" s="301"/>
      <c r="X64" s="302">
        <v>85000000</v>
      </c>
    </row>
    <row r="65" spans="1:24" x14ac:dyDescent="0.25">
      <c r="B65" s="76" t="s">
        <v>105516</v>
      </c>
      <c r="C65" s="76" t="s">
        <v>105573</v>
      </c>
      <c r="D65" s="76" t="s">
        <v>105573</v>
      </c>
      <c r="E65" s="76" t="s">
        <v>105520</v>
      </c>
      <c r="F65" s="76" t="s">
        <v>105538</v>
      </c>
      <c r="G65" s="76" t="s">
        <v>105547</v>
      </c>
      <c r="H65" s="76" t="s">
        <v>106109</v>
      </c>
      <c r="I65" s="76"/>
      <c r="J65" s="76"/>
      <c r="K65" s="76"/>
      <c r="L65" s="115"/>
      <c r="M65" s="103" t="s">
        <v>106667</v>
      </c>
      <c r="N65" s="104"/>
      <c r="O65" s="104"/>
      <c r="P65" s="105"/>
      <c r="Q65" s="105"/>
      <c r="R65" s="106">
        <f>+R66</f>
        <v>10000000</v>
      </c>
      <c r="S65" s="107"/>
      <c r="T65" s="96"/>
      <c r="U65" s="79"/>
      <c r="V65" s="363"/>
      <c r="W65" s="80"/>
      <c r="X65" s="80"/>
    </row>
    <row r="66" spans="1:24" ht="75" customHeight="1" x14ac:dyDescent="0.25">
      <c r="B66" s="84"/>
      <c r="C66" s="85"/>
      <c r="D66" s="85"/>
      <c r="E66" s="85"/>
      <c r="F66" s="85"/>
      <c r="G66" s="85"/>
      <c r="H66" s="85"/>
      <c r="I66" s="85"/>
      <c r="J66" s="86"/>
      <c r="K66" s="86" t="s">
        <v>106656</v>
      </c>
      <c r="L66" s="87" t="s">
        <v>113045</v>
      </c>
      <c r="M66" s="88" t="s">
        <v>113046</v>
      </c>
      <c r="N66" s="89">
        <v>45412</v>
      </c>
      <c r="O66" s="89" t="s">
        <v>113084</v>
      </c>
      <c r="P66" s="90" t="s">
        <v>113001</v>
      </c>
      <c r="Q66" s="90" t="s">
        <v>113006</v>
      </c>
      <c r="R66" s="91">
        <v>10000000</v>
      </c>
      <c r="S66" s="92"/>
      <c r="T66" s="93" t="s">
        <v>113010</v>
      </c>
      <c r="U66" s="300">
        <v>54024</v>
      </c>
      <c r="V66" s="301">
        <v>10000000</v>
      </c>
      <c r="W66" s="301"/>
      <c r="X66" s="302">
        <f>W66-R66</f>
        <v>-10000000</v>
      </c>
    </row>
    <row r="67" spans="1:24" x14ac:dyDescent="0.25">
      <c r="B67" s="338" t="s">
        <v>105516</v>
      </c>
      <c r="C67" s="338" t="s">
        <v>105573</v>
      </c>
      <c r="D67" s="338" t="s">
        <v>105573</v>
      </c>
      <c r="E67" s="338" t="s">
        <v>105520</v>
      </c>
      <c r="F67" s="338" t="s">
        <v>105538</v>
      </c>
      <c r="G67" s="338" t="s">
        <v>105553</v>
      </c>
      <c r="H67" s="68"/>
      <c r="I67" s="68"/>
      <c r="J67" s="68"/>
      <c r="K67" s="69"/>
      <c r="L67" s="69"/>
      <c r="M67" s="70" t="s">
        <v>106685</v>
      </c>
      <c r="N67" s="71"/>
      <c r="O67" s="71"/>
      <c r="P67" s="72"/>
      <c r="Q67" s="72"/>
      <c r="R67" s="73">
        <f>+R68</f>
        <v>29800000</v>
      </c>
      <c r="S67" s="74"/>
      <c r="T67" s="75"/>
      <c r="U67" s="71" t="s">
        <v>112994</v>
      </c>
      <c r="V67" s="362" t="s">
        <v>112994</v>
      </c>
      <c r="W67" s="72"/>
      <c r="X67" s="72"/>
    </row>
    <row r="68" spans="1:24" x14ac:dyDescent="0.25">
      <c r="B68" s="115" t="s">
        <v>105516</v>
      </c>
      <c r="C68" s="115" t="s">
        <v>105573</v>
      </c>
      <c r="D68" s="115" t="s">
        <v>105573</v>
      </c>
      <c r="E68" s="115" t="s">
        <v>105520</v>
      </c>
      <c r="F68" s="115" t="s">
        <v>105538</v>
      </c>
      <c r="G68" s="76" t="s">
        <v>105553</v>
      </c>
      <c r="H68" s="76" t="s">
        <v>106109</v>
      </c>
      <c r="I68" s="115"/>
      <c r="J68" s="115"/>
      <c r="K68" s="102"/>
      <c r="L68" s="102"/>
      <c r="M68" s="103" t="s">
        <v>106701</v>
      </c>
      <c r="N68" s="104"/>
      <c r="O68" s="104"/>
      <c r="P68" s="105"/>
      <c r="Q68" s="105"/>
      <c r="R68" s="106">
        <f>+R69</f>
        <v>29800000</v>
      </c>
      <c r="S68" s="107"/>
      <c r="T68" s="96"/>
      <c r="U68" s="79"/>
      <c r="V68" s="363"/>
      <c r="W68" s="80"/>
      <c r="X68" s="80"/>
    </row>
    <row r="69" spans="1:24" ht="15" customHeight="1" x14ac:dyDescent="0.25">
      <c r="A69" s="20"/>
      <c r="B69" s="84"/>
      <c r="C69" s="85"/>
      <c r="D69" s="85"/>
      <c r="E69" s="85"/>
      <c r="F69" s="85"/>
      <c r="G69" s="85"/>
      <c r="H69" s="85"/>
      <c r="I69" s="85"/>
      <c r="J69" s="86"/>
      <c r="K69" s="86" t="s">
        <v>106684</v>
      </c>
      <c r="L69" s="51"/>
      <c r="M69" s="88" t="s">
        <v>113047</v>
      </c>
      <c r="N69" s="89" t="s">
        <v>113029</v>
      </c>
      <c r="O69" s="89" t="s">
        <v>113029</v>
      </c>
      <c r="P69" s="89" t="s">
        <v>113029</v>
      </c>
      <c r="Q69" s="89" t="s">
        <v>113029</v>
      </c>
      <c r="R69" s="91">
        <v>29800000</v>
      </c>
      <c r="S69" s="93"/>
      <c r="T69" s="93" t="s">
        <v>113030</v>
      </c>
      <c r="U69" s="305" t="s">
        <v>113350</v>
      </c>
      <c r="V69" s="306">
        <f>9551351+401449</f>
        <v>9952800</v>
      </c>
      <c r="W69" s="306">
        <v>9952800</v>
      </c>
      <c r="X69" s="302">
        <f>W69-R69</f>
        <v>-19847200</v>
      </c>
    </row>
    <row r="70" spans="1:24" x14ac:dyDescent="0.25">
      <c r="B70" s="59" t="s">
        <v>105516</v>
      </c>
      <c r="C70" s="59" t="s">
        <v>105573</v>
      </c>
      <c r="D70" s="59" t="s">
        <v>105573</v>
      </c>
      <c r="E70" s="59" t="s">
        <v>105520</v>
      </c>
      <c r="F70" s="59" t="s">
        <v>105541</v>
      </c>
      <c r="G70" s="59"/>
      <c r="H70" s="59"/>
      <c r="I70" s="59"/>
      <c r="J70" s="59"/>
      <c r="K70" s="60"/>
      <c r="L70" s="61"/>
      <c r="M70" s="62" t="s">
        <v>106705</v>
      </c>
      <c r="N70" s="63"/>
      <c r="O70" s="63"/>
      <c r="P70" s="64"/>
      <c r="Q70" s="64"/>
      <c r="R70" s="65">
        <f>+R71+R74+R77+R85</f>
        <v>371600000</v>
      </c>
      <c r="S70" s="66"/>
      <c r="T70" s="67"/>
      <c r="U70" s="63" t="s">
        <v>112994</v>
      </c>
      <c r="V70" s="361" t="s">
        <v>112994</v>
      </c>
      <c r="W70" s="64"/>
      <c r="X70" s="64"/>
    </row>
    <row r="71" spans="1:24" x14ac:dyDescent="0.25">
      <c r="B71" s="338" t="s">
        <v>105516</v>
      </c>
      <c r="C71" s="338" t="s">
        <v>105573</v>
      </c>
      <c r="D71" s="338" t="s">
        <v>105573</v>
      </c>
      <c r="E71" s="338" t="s">
        <v>105520</v>
      </c>
      <c r="F71" s="338" t="s">
        <v>105541</v>
      </c>
      <c r="G71" s="338" t="s">
        <v>105541</v>
      </c>
      <c r="H71" s="68"/>
      <c r="I71" s="68"/>
      <c r="J71" s="68"/>
      <c r="K71" s="69"/>
      <c r="L71" s="69"/>
      <c r="M71" s="70" t="s">
        <v>106246</v>
      </c>
      <c r="N71" s="71"/>
      <c r="O71" s="71"/>
      <c r="P71" s="72"/>
      <c r="Q71" s="72"/>
      <c r="R71" s="73">
        <f>+R72</f>
        <v>82800000</v>
      </c>
      <c r="S71" s="74"/>
      <c r="T71" s="75"/>
      <c r="U71" s="71" t="s">
        <v>112994</v>
      </c>
      <c r="V71" s="362" t="s">
        <v>112994</v>
      </c>
      <c r="W71" s="72"/>
      <c r="X71" s="72"/>
    </row>
    <row r="72" spans="1:24" ht="29.25" customHeight="1" x14ac:dyDescent="0.25">
      <c r="B72" s="76" t="s">
        <v>105516</v>
      </c>
      <c r="C72" s="76" t="s">
        <v>105573</v>
      </c>
      <c r="D72" s="76" t="s">
        <v>105573</v>
      </c>
      <c r="E72" s="76" t="s">
        <v>105520</v>
      </c>
      <c r="F72" s="76" t="s">
        <v>105541</v>
      </c>
      <c r="G72" s="76" t="s">
        <v>105541</v>
      </c>
      <c r="H72" s="76" t="s">
        <v>106109</v>
      </c>
      <c r="I72" s="76"/>
      <c r="J72" s="76"/>
      <c r="K72" s="76"/>
      <c r="L72" s="76"/>
      <c r="M72" s="78" t="s">
        <v>106262</v>
      </c>
      <c r="N72" s="79"/>
      <c r="O72" s="79"/>
      <c r="P72" s="80"/>
      <c r="Q72" s="80"/>
      <c r="R72" s="81">
        <f>+R73</f>
        <v>82800000</v>
      </c>
      <c r="S72" s="82"/>
      <c r="T72" s="96"/>
      <c r="U72" s="79"/>
      <c r="V72" s="363"/>
      <c r="W72" s="80"/>
      <c r="X72" s="80"/>
    </row>
    <row r="73" spans="1:24" ht="45" x14ac:dyDescent="0.25">
      <c r="B73" s="84"/>
      <c r="C73" s="85"/>
      <c r="D73" s="85"/>
      <c r="E73" s="85"/>
      <c r="F73" s="85"/>
      <c r="G73" s="85"/>
      <c r="H73" s="85"/>
      <c r="I73" s="85"/>
      <c r="J73" s="86"/>
      <c r="K73" s="86" t="s">
        <v>106717</v>
      </c>
      <c r="L73" s="87" t="s">
        <v>113209</v>
      </c>
      <c r="M73" s="88" t="s">
        <v>113048</v>
      </c>
      <c r="N73" s="89">
        <v>45457</v>
      </c>
      <c r="O73" s="89" t="s">
        <v>113171</v>
      </c>
      <c r="P73" s="90" t="s">
        <v>113001</v>
      </c>
      <c r="Q73" s="90" t="s">
        <v>113036</v>
      </c>
      <c r="R73" s="320">
        <f>22800000+60000000</f>
        <v>82800000</v>
      </c>
      <c r="S73" s="92"/>
      <c r="T73" s="93" t="s">
        <v>113017</v>
      </c>
      <c r="U73" s="300">
        <v>41824</v>
      </c>
      <c r="V73" s="301">
        <v>82800000</v>
      </c>
      <c r="W73" s="93"/>
      <c r="X73" s="302">
        <f>W73-R73</f>
        <v>-82800000</v>
      </c>
    </row>
    <row r="74" spans="1:24" x14ac:dyDescent="0.25">
      <c r="B74" s="338" t="s">
        <v>105516</v>
      </c>
      <c r="C74" s="338" t="s">
        <v>105573</v>
      </c>
      <c r="D74" s="338" t="s">
        <v>105573</v>
      </c>
      <c r="E74" s="338" t="s">
        <v>105520</v>
      </c>
      <c r="F74" s="338" t="s">
        <v>105541</v>
      </c>
      <c r="G74" s="338" t="s">
        <v>105544</v>
      </c>
      <c r="H74" s="68"/>
      <c r="I74" s="68"/>
      <c r="J74" s="68"/>
      <c r="K74" s="69"/>
      <c r="L74" s="69"/>
      <c r="M74" s="70" t="s">
        <v>106264</v>
      </c>
      <c r="N74" s="71"/>
      <c r="O74" s="71"/>
      <c r="P74" s="72"/>
      <c r="Q74" s="72"/>
      <c r="R74" s="73">
        <f>+R75</f>
        <v>6800000</v>
      </c>
      <c r="S74" s="74"/>
      <c r="T74" s="75"/>
      <c r="U74" s="71" t="s">
        <v>112994</v>
      </c>
      <c r="V74" s="362" t="s">
        <v>112994</v>
      </c>
      <c r="W74" s="72"/>
      <c r="X74" s="72"/>
    </row>
    <row r="75" spans="1:24" ht="30" x14ac:dyDescent="0.25">
      <c r="B75" s="76" t="s">
        <v>105516</v>
      </c>
      <c r="C75" s="76" t="s">
        <v>105573</v>
      </c>
      <c r="D75" s="76" t="s">
        <v>105573</v>
      </c>
      <c r="E75" s="76" t="s">
        <v>105520</v>
      </c>
      <c r="F75" s="76" t="s">
        <v>105541</v>
      </c>
      <c r="G75" s="76" t="s">
        <v>105544</v>
      </c>
      <c r="H75" s="76" t="s">
        <v>105520</v>
      </c>
      <c r="I75" s="76"/>
      <c r="J75" s="76"/>
      <c r="K75" s="76"/>
      <c r="L75" s="76"/>
      <c r="M75" s="78" t="s">
        <v>106266</v>
      </c>
      <c r="N75" s="79"/>
      <c r="O75" s="79"/>
      <c r="P75" s="80"/>
      <c r="Q75" s="80"/>
      <c r="R75" s="81">
        <f>SUM(R76:R76)</f>
        <v>6800000</v>
      </c>
      <c r="S75" s="82"/>
      <c r="T75" s="96"/>
      <c r="U75" s="79"/>
      <c r="V75" s="363"/>
      <c r="W75" s="80"/>
      <c r="X75" s="80"/>
    </row>
    <row r="76" spans="1:24" ht="30" x14ac:dyDescent="0.25">
      <c r="B76" s="84"/>
      <c r="C76" s="85"/>
      <c r="D76" s="85"/>
      <c r="E76" s="85"/>
      <c r="F76" s="85"/>
      <c r="G76" s="85"/>
      <c r="H76" s="85"/>
      <c r="I76" s="85"/>
      <c r="J76" s="86"/>
      <c r="K76" s="86" t="s">
        <v>106726</v>
      </c>
      <c r="L76" s="87">
        <v>43233200</v>
      </c>
      <c r="M76" s="88" t="s">
        <v>113049</v>
      </c>
      <c r="N76" s="89">
        <v>45300</v>
      </c>
      <c r="O76" s="89" t="s">
        <v>113035</v>
      </c>
      <c r="P76" s="90" t="s">
        <v>113038</v>
      </c>
      <c r="Q76" s="90" t="s">
        <v>113036</v>
      </c>
      <c r="R76" s="91">
        <f>4800000+2000000</f>
        <v>6800000</v>
      </c>
      <c r="S76" s="92"/>
      <c r="T76" s="93" t="s">
        <v>113002</v>
      </c>
      <c r="U76" s="300">
        <v>3324</v>
      </c>
      <c r="V76" s="301">
        <v>6800000</v>
      </c>
      <c r="W76" s="301">
        <v>4224500</v>
      </c>
      <c r="X76" s="302">
        <f>W76-R76</f>
        <v>-2575500</v>
      </c>
    </row>
    <row r="77" spans="1:24" x14ac:dyDescent="0.25">
      <c r="B77" s="338" t="s">
        <v>105516</v>
      </c>
      <c r="C77" s="338" t="s">
        <v>105573</v>
      </c>
      <c r="D77" s="338" t="s">
        <v>105573</v>
      </c>
      <c r="E77" s="338" t="s">
        <v>105520</v>
      </c>
      <c r="F77" s="338" t="s">
        <v>105541</v>
      </c>
      <c r="G77" s="338" t="s">
        <v>105550</v>
      </c>
      <c r="H77" s="68"/>
      <c r="I77" s="68"/>
      <c r="J77" s="68"/>
      <c r="K77" s="69"/>
      <c r="L77" s="69"/>
      <c r="M77" s="70" t="s">
        <v>106284</v>
      </c>
      <c r="N77" s="71"/>
      <c r="O77" s="71"/>
      <c r="P77" s="72"/>
      <c r="Q77" s="72"/>
      <c r="R77" s="73">
        <f>+R78</f>
        <v>266000000</v>
      </c>
      <c r="S77" s="74"/>
      <c r="T77" s="75"/>
      <c r="U77" s="71" t="s">
        <v>112994</v>
      </c>
      <c r="V77" s="362" t="s">
        <v>112994</v>
      </c>
      <c r="W77" s="72"/>
      <c r="X77" s="72"/>
    </row>
    <row r="78" spans="1:24" x14ac:dyDescent="0.25">
      <c r="B78" s="76" t="s">
        <v>105516</v>
      </c>
      <c r="C78" s="76" t="s">
        <v>105573</v>
      </c>
      <c r="D78" s="76" t="s">
        <v>105573</v>
      </c>
      <c r="E78" s="76" t="s">
        <v>105520</v>
      </c>
      <c r="F78" s="76" t="s">
        <v>105541</v>
      </c>
      <c r="G78" s="76" t="s">
        <v>105550</v>
      </c>
      <c r="H78" s="76" t="s">
        <v>106106</v>
      </c>
      <c r="I78" s="76"/>
      <c r="J78" s="76"/>
      <c r="K78" s="76"/>
      <c r="L78" s="76"/>
      <c r="M78" s="78" t="s">
        <v>106408</v>
      </c>
      <c r="N78" s="79"/>
      <c r="O78" s="79"/>
      <c r="P78" s="80"/>
      <c r="Q78" s="80"/>
      <c r="R78" s="81">
        <f>SUM(R79:R84)</f>
        <v>266000000</v>
      </c>
      <c r="S78" s="82"/>
      <c r="T78" s="96"/>
      <c r="U78" s="79"/>
      <c r="V78" s="363"/>
      <c r="W78" s="80"/>
      <c r="X78" s="80"/>
    </row>
    <row r="79" spans="1:24" ht="30" x14ac:dyDescent="0.25">
      <c r="A79" s="324"/>
      <c r="B79" s="84"/>
      <c r="C79" s="85"/>
      <c r="D79" s="85"/>
      <c r="E79" s="85"/>
      <c r="F79" s="85"/>
      <c r="G79" s="85"/>
      <c r="H79" s="85"/>
      <c r="I79" s="85"/>
      <c r="J79" s="86"/>
      <c r="K79" s="86" t="s">
        <v>106736</v>
      </c>
      <c r="L79" s="87">
        <v>43233200</v>
      </c>
      <c r="M79" s="97" t="s">
        <v>113177</v>
      </c>
      <c r="N79" s="89">
        <v>45306</v>
      </c>
      <c r="O79" s="89" t="s">
        <v>113035</v>
      </c>
      <c r="P79" s="90" t="s">
        <v>113020</v>
      </c>
      <c r="Q79" s="90" t="s">
        <v>113051</v>
      </c>
      <c r="R79" s="91">
        <v>18000000</v>
      </c>
      <c r="S79" s="92"/>
      <c r="T79" s="93" t="s">
        <v>113052</v>
      </c>
      <c r="U79" s="300">
        <v>43024</v>
      </c>
      <c r="V79" s="301">
        <v>18000000</v>
      </c>
      <c r="W79" s="301">
        <v>17432310</v>
      </c>
      <c r="X79" s="302">
        <f>W79-R79</f>
        <v>-567690</v>
      </c>
    </row>
    <row r="80" spans="1:24" ht="30" x14ac:dyDescent="0.25">
      <c r="A80" s="324"/>
      <c r="B80" s="84"/>
      <c r="C80" s="85"/>
      <c r="D80" s="85"/>
      <c r="E80" s="85"/>
      <c r="F80" s="85"/>
      <c r="G80" s="85"/>
      <c r="H80" s="85"/>
      <c r="I80" s="85"/>
      <c r="J80" s="86"/>
      <c r="K80" s="86" t="s">
        <v>106736</v>
      </c>
      <c r="L80" s="87" t="s">
        <v>113237</v>
      </c>
      <c r="M80" s="88" t="s">
        <v>113238</v>
      </c>
      <c r="N80" s="89">
        <v>45516</v>
      </c>
      <c r="O80" s="89" t="s">
        <v>113075</v>
      </c>
      <c r="P80" s="90" t="s">
        <v>113043</v>
      </c>
      <c r="Q80" s="90" t="s">
        <v>112998</v>
      </c>
      <c r="R80" s="295">
        <v>35000000</v>
      </c>
      <c r="S80" s="92"/>
      <c r="T80" s="93" t="s">
        <v>113002</v>
      </c>
      <c r="U80" s="303"/>
      <c r="V80" s="301"/>
      <c r="W80" s="301"/>
      <c r="X80" s="302">
        <f t="shared" ref="X80:X81" si="1">W80-R80</f>
        <v>-35000000</v>
      </c>
    </row>
    <row r="81" spans="2:24" ht="30" x14ac:dyDescent="0.25">
      <c r="B81" s="84"/>
      <c r="C81" s="85"/>
      <c r="D81" s="85"/>
      <c r="E81" s="85"/>
      <c r="F81" s="85"/>
      <c r="G81" s="85"/>
      <c r="H81" s="85"/>
      <c r="I81" s="85"/>
      <c r="J81" s="86"/>
      <c r="K81" s="86" t="s">
        <v>106736</v>
      </c>
      <c r="L81" s="51">
        <v>43231500</v>
      </c>
      <c r="M81" s="88" t="s">
        <v>113239</v>
      </c>
      <c r="N81" s="89">
        <v>45481</v>
      </c>
      <c r="O81" s="89" t="s">
        <v>113008</v>
      </c>
      <c r="P81" s="90" t="s">
        <v>112997</v>
      </c>
      <c r="Q81" s="90" t="s">
        <v>112998</v>
      </c>
      <c r="R81" s="296">
        <v>50000000</v>
      </c>
      <c r="S81" s="116"/>
      <c r="T81" s="93" t="s">
        <v>113002</v>
      </c>
      <c r="U81" s="303"/>
      <c r="V81" s="301"/>
      <c r="W81" s="301"/>
      <c r="X81" s="302">
        <f t="shared" si="1"/>
        <v>-50000000</v>
      </c>
    </row>
    <row r="82" spans="2:24" ht="30" x14ac:dyDescent="0.25">
      <c r="B82" s="84"/>
      <c r="C82" s="85"/>
      <c r="D82" s="85"/>
      <c r="E82" s="85"/>
      <c r="F82" s="85"/>
      <c r="G82" s="85"/>
      <c r="H82" s="85"/>
      <c r="I82" s="85"/>
      <c r="J82" s="86"/>
      <c r="K82" s="86"/>
      <c r="L82" s="51">
        <v>43231500</v>
      </c>
      <c r="M82" s="88" t="s">
        <v>113290</v>
      </c>
      <c r="N82" s="89"/>
      <c r="O82" s="89"/>
      <c r="P82" s="90"/>
      <c r="Q82" s="90" t="s">
        <v>113098</v>
      </c>
      <c r="R82" s="91">
        <f>22000000-18000000</f>
        <v>4000000</v>
      </c>
      <c r="S82" s="116"/>
      <c r="T82" s="93"/>
      <c r="U82" s="303"/>
      <c r="V82" s="301"/>
      <c r="W82" s="301"/>
      <c r="X82" s="302">
        <f>W82-R82</f>
        <v>-4000000</v>
      </c>
    </row>
    <row r="83" spans="2:24" ht="30" x14ac:dyDescent="0.25">
      <c r="B83" s="84"/>
      <c r="C83" s="85"/>
      <c r="D83" s="85"/>
      <c r="E83" s="85"/>
      <c r="F83" s="85"/>
      <c r="G83" s="85"/>
      <c r="H83" s="85"/>
      <c r="I83" s="85"/>
      <c r="J83" s="86"/>
      <c r="K83" s="86" t="s">
        <v>106736</v>
      </c>
      <c r="L83" s="51">
        <v>43231500</v>
      </c>
      <c r="M83" s="88" t="s">
        <v>113240</v>
      </c>
      <c r="N83" s="89">
        <v>45390</v>
      </c>
      <c r="O83" s="89" t="s">
        <v>113084</v>
      </c>
      <c r="P83" s="90" t="s">
        <v>112997</v>
      </c>
      <c r="Q83" s="90" t="s">
        <v>113051</v>
      </c>
      <c r="R83" s="91">
        <f>130000000-2000000-29000000+30000000</f>
        <v>129000000</v>
      </c>
      <c r="S83" s="92"/>
      <c r="T83" s="93" t="s">
        <v>113002</v>
      </c>
      <c r="U83" s="300">
        <v>49524</v>
      </c>
      <c r="V83" s="301">
        <v>129000000</v>
      </c>
      <c r="W83" s="301">
        <v>128952204</v>
      </c>
      <c r="X83" s="302">
        <f>W83-R83</f>
        <v>-47796</v>
      </c>
    </row>
    <row r="84" spans="2:24" ht="30" x14ac:dyDescent="0.25">
      <c r="B84" s="84"/>
      <c r="C84" s="85"/>
      <c r="D84" s="85"/>
      <c r="E84" s="85"/>
      <c r="F84" s="85"/>
      <c r="G84" s="85"/>
      <c r="H84" s="85"/>
      <c r="I84" s="85"/>
      <c r="J84" s="86"/>
      <c r="K84" s="86" t="s">
        <v>106736</v>
      </c>
      <c r="L84" s="51">
        <v>43231500</v>
      </c>
      <c r="M84" s="88" t="s">
        <v>113053</v>
      </c>
      <c r="N84" s="89">
        <v>45474</v>
      </c>
      <c r="O84" s="89" t="s">
        <v>112996</v>
      </c>
      <c r="P84" s="90" t="s">
        <v>112997</v>
      </c>
      <c r="Q84" s="90" t="s">
        <v>113036</v>
      </c>
      <c r="R84" s="295">
        <v>30000000</v>
      </c>
      <c r="S84" s="92"/>
      <c r="T84" s="93" t="s">
        <v>113002</v>
      </c>
      <c r="U84" s="303"/>
      <c r="V84" s="301"/>
      <c r="W84" s="301"/>
      <c r="X84" s="302">
        <f>W84-R84</f>
        <v>-30000000</v>
      </c>
    </row>
    <row r="85" spans="2:24" ht="30" x14ac:dyDescent="0.25">
      <c r="B85" s="338" t="s">
        <v>105516</v>
      </c>
      <c r="C85" s="338" t="s">
        <v>105573</v>
      </c>
      <c r="D85" s="338" t="s">
        <v>105573</v>
      </c>
      <c r="E85" s="338" t="s">
        <v>105520</v>
      </c>
      <c r="F85" s="338" t="s">
        <v>105541</v>
      </c>
      <c r="G85" s="338" t="s">
        <v>105553</v>
      </c>
      <c r="H85" s="68"/>
      <c r="I85" s="68"/>
      <c r="J85" s="68"/>
      <c r="K85" s="69"/>
      <c r="L85" s="69"/>
      <c r="M85" s="70" t="s">
        <v>106300</v>
      </c>
      <c r="N85" s="71"/>
      <c r="O85" s="71"/>
      <c r="P85" s="72"/>
      <c r="Q85" s="72"/>
      <c r="R85" s="73">
        <f>+R86+R88</f>
        <v>16000000</v>
      </c>
      <c r="S85" s="74"/>
      <c r="T85" s="75"/>
      <c r="U85" s="71" t="s">
        <v>112994</v>
      </c>
      <c r="V85" s="362" t="s">
        <v>112994</v>
      </c>
      <c r="W85" s="72"/>
      <c r="X85" s="72"/>
    </row>
    <row r="86" spans="2:24" ht="60" x14ac:dyDescent="0.25">
      <c r="B86" s="76" t="s">
        <v>105516</v>
      </c>
      <c r="C86" s="76" t="s">
        <v>105573</v>
      </c>
      <c r="D86" s="76" t="s">
        <v>105573</v>
      </c>
      <c r="E86" s="76" t="s">
        <v>105520</v>
      </c>
      <c r="F86" s="76" t="s">
        <v>105541</v>
      </c>
      <c r="G86" s="76" t="s">
        <v>105553</v>
      </c>
      <c r="H86" s="76" t="s">
        <v>105573</v>
      </c>
      <c r="I86" s="76"/>
      <c r="J86" s="76"/>
      <c r="K86" s="76"/>
      <c r="L86" s="76"/>
      <c r="M86" s="78" t="s">
        <v>106304</v>
      </c>
      <c r="N86" s="79"/>
      <c r="O86" s="79"/>
      <c r="P86" s="80"/>
      <c r="Q86" s="80"/>
      <c r="R86" s="81">
        <f>+R87</f>
        <v>10000000</v>
      </c>
      <c r="S86" s="82"/>
      <c r="T86" s="96"/>
      <c r="U86" s="79"/>
      <c r="V86" s="363"/>
      <c r="W86" s="80"/>
      <c r="X86" s="80"/>
    </row>
    <row r="87" spans="2:24" ht="39.75" customHeight="1" x14ac:dyDescent="0.25">
      <c r="B87" s="84"/>
      <c r="C87" s="85"/>
      <c r="D87" s="85"/>
      <c r="E87" s="85"/>
      <c r="F87" s="85"/>
      <c r="G87" s="85"/>
      <c r="H87" s="85"/>
      <c r="I87" s="85"/>
      <c r="J87" s="86"/>
      <c r="K87" s="86" t="s">
        <v>106745</v>
      </c>
      <c r="L87" s="87" t="s">
        <v>113208</v>
      </c>
      <c r="M87" s="88" t="s">
        <v>113056</v>
      </c>
      <c r="N87" s="89">
        <v>45474</v>
      </c>
      <c r="O87" s="89" t="s">
        <v>112996</v>
      </c>
      <c r="P87" s="90" t="s">
        <v>113137</v>
      </c>
      <c r="Q87" s="90" t="s">
        <v>112998</v>
      </c>
      <c r="R87" s="295">
        <v>10000000</v>
      </c>
      <c r="S87" s="92"/>
      <c r="T87" s="93" t="s">
        <v>113017</v>
      </c>
      <c r="U87" s="300">
        <v>59624</v>
      </c>
      <c r="V87" s="301">
        <v>10000000</v>
      </c>
      <c r="W87" s="301"/>
      <c r="X87" s="302">
        <f>W87-R87</f>
        <v>-10000000</v>
      </c>
    </row>
    <row r="88" spans="2:24" ht="30" x14ac:dyDescent="0.25">
      <c r="B88" s="76" t="s">
        <v>105516</v>
      </c>
      <c r="C88" s="76" t="s">
        <v>105573</v>
      </c>
      <c r="D88" s="76" t="s">
        <v>105573</v>
      </c>
      <c r="E88" s="76" t="s">
        <v>105520</v>
      </c>
      <c r="F88" s="76" t="s">
        <v>105541</v>
      </c>
      <c r="G88" s="76" t="s">
        <v>105553</v>
      </c>
      <c r="H88" s="76" t="s">
        <v>105675</v>
      </c>
      <c r="I88" s="76"/>
      <c r="J88" s="76"/>
      <c r="K88" s="76"/>
      <c r="L88" s="76"/>
      <c r="M88" s="78" t="s">
        <v>106306</v>
      </c>
      <c r="N88" s="79"/>
      <c r="O88" s="79"/>
      <c r="P88" s="80"/>
      <c r="Q88" s="80"/>
      <c r="R88" s="81">
        <f>+R89</f>
        <v>6000000</v>
      </c>
      <c r="S88" s="82"/>
      <c r="T88" s="96"/>
      <c r="U88" s="79"/>
      <c r="V88" s="363"/>
      <c r="W88" s="80"/>
      <c r="X88" s="80"/>
    </row>
    <row r="89" spans="2:24" x14ac:dyDescent="0.25">
      <c r="B89" s="84"/>
      <c r="C89" s="85"/>
      <c r="D89" s="85"/>
      <c r="E89" s="85"/>
      <c r="F89" s="85"/>
      <c r="G89" s="85"/>
      <c r="H89" s="85"/>
      <c r="I89" s="85"/>
      <c r="J89" s="86"/>
      <c r="K89" s="86" t="s">
        <v>106745</v>
      </c>
      <c r="L89" s="112">
        <v>81141500</v>
      </c>
      <c r="M89" s="113" t="s">
        <v>113054</v>
      </c>
      <c r="N89" s="114">
        <v>45314</v>
      </c>
      <c r="O89" s="89" t="s">
        <v>113000</v>
      </c>
      <c r="P89" s="90" t="s">
        <v>112997</v>
      </c>
      <c r="Q89" s="90" t="s">
        <v>113050</v>
      </c>
      <c r="R89" s="91">
        <v>6000000</v>
      </c>
      <c r="S89" s="92"/>
      <c r="T89" s="93" t="s">
        <v>113055</v>
      </c>
      <c r="U89" s="300">
        <v>55524</v>
      </c>
      <c r="V89" s="365">
        <v>6000000</v>
      </c>
      <c r="W89" s="301"/>
      <c r="X89" s="302">
        <f>W89-R89</f>
        <v>-6000000</v>
      </c>
    </row>
    <row r="90" spans="2:24" x14ac:dyDescent="0.25">
      <c r="B90" s="50" t="s">
        <v>105516</v>
      </c>
      <c r="C90" s="50" t="s">
        <v>105573</v>
      </c>
      <c r="D90" s="50" t="s">
        <v>105573</v>
      </c>
      <c r="E90" s="50" t="s">
        <v>105573</v>
      </c>
      <c r="F90" s="50"/>
      <c r="G90" s="50"/>
      <c r="H90" s="50"/>
      <c r="I90" s="50"/>
      <c r="J90" s="50"/>
      <c r="K90" s="51"/>
      <c r="L90" s="51"/>
      <c r="M90" s="52" t="s">
        <v>106777</v>
      </c>
      <c r="N90" s="53"/>
      <c r="O90" s="53"/>
      <c r="P90" s="54"/>
      <c r="Q90" s="54"/>
      <c r="R90" s="55">
        <f>+R91+R102+R108+R201+R216</f>
        <v>6757100000</v>
      </c>
      <c r="S90" s="56"/>
      <c r="T90" s="99"/>
      <c r="U90" s="99"/>
      <c r="V90" s="366"/>
      <c r="W90" s="99"/>
      <c r="X90" s="99"/>
    </row>
    <row r="91" spans="2:24" ht="76.5" customHeight="1" x14ac:dyDescent="0.25">
      <c r="B91" s="59" t="s">
        <v>105516</v>
      </c>
      <c r="C91" s="59" t="s">
        <v>105573</v>
      </c>
      <c r="D91" s="59" t="s">
        <v>105573</v>
      </c>
      <c r="E91" s="59" t="s">
        <v>105573</v>
      </c>
      <c r="F91" s="59" t="s">
        <v>105547</v>
      </c>
      <c r="G91" s="59"/>
      <c r="H91" s="59"/>
      <c r="I91" s="59"/>
      <c r="J91" s="59"/>
      <c r="K91" s="60"/>
      <c r="L91" s="61"/>
      <c r="M91" s="62" t="s">
        <v>113323</v>
      </c>
      <c r="N91" s="63"/>
      <c r="O91" s="63"/>
      <c r="P91" s="64"/>
      <c r="Q91" s="64"/>
      <c r="R91" s="65">
        <f>+R92+R96+R99</f>
        <v>420700000</v>
      </c>
      <c r="S91" s="66"/>
      <c r="T91" s="67"/>
      <c r="U91" s="63" t="s">
        <v>112994</v>
      </c>
      <c r="V91" s="361" t="s">
        <v>112994</v>
      </c>
      <c r="W91" s="64"/>
      <c r="X91" s="64"/>
    </row>
    <row r="92" spans="2:24" x14ac:dyDescent="0.25">
      <c r="B92" s="338" t="s">
        <v>105516</v>
      </c>
      <c r="C92" s="338" t="s">
        <v>105573</v>
      </c>
      <c r="D92" s="338" t="s">
        <v>105573</v>
      </c>
      <c r="E92" s="338" t="s">
        <v>105573</v>
      </c>
      <c r="F92" s="338" t="s">
        <v>105547</v>
      </c>
      <c r="G92" s="338" t="s">
        <v>105541</v>
      </c>
      <c r="H92" s="68"/>
      <c r="I92" s="68"/>
      <c r="J92" s="68"/>
      <c r="K92" s="69"/>
      <c r="L92" s="69"/>
      <c r="M92" s="70" t="s">
        <v>106829</v>
      </c>
      <c r="N92" s="71"/>
      <c r="O92" s="71"/>
      <c r="P92" s="72"/>
      <c r="Q92" s="72"/>
      <c r="R92" s="73">
        <f>SUM(R93:R95)</f>
        <v>62000000</v>
      </c>
      <c r="S92" s="74"/>
      <c r="T92" s="75"/>
      <c r="U92" s="71" t="s">
        <v>112994</v>
      </c>
      <c r="V92" s="362" t="s">
        <v>112994</v>
      </c>
      <c r="W92" s="72"/>
      <c r="X92" s="72"/>
    </row>
    <row r="93" spans="2:24" ht="18.75" customHeight="1" x14ac:dyDescent="0.25">
      <c r="B93" s="84"/>
      <c r="C93" s="85"/>
      <c r="D93" s="85"/>
      <c r="E93" s="85"/>
      <c r="F93" s="85"/>
      <c r="G93" s="85"/>
      <c r="H93" s="85"/>
      <c r="I93" s="85"/>
      <c r="J93" s="86"/>
      <c r="K93" s="86"/>
      <c r="L93" s="87"/>
      <c r="M93" s="88" t="s">
        <v>113060</v>
      </c>
      <c r="N93" s="89" t="s">
        <v>113029</v>
      </c>
      <c r="O93" s="89" t="s">
        <v>113029</v>
      </c>
      <c r="P93" s="89" t="s">
        <v>113029</v>
      </c>
      <c r="Q93" s="89" t="s">
        <v>113029</v>
      </c>
      <c r="R93" s="91">
        <v>7000000</v>
      </c>
      <c r="S93" s="92"/>
      <c r="T93" s="93" t="s">
        <v>113030</v>
      </c>
      <c r="U93" s="304" t="s">
        <v>113351</v>
      </c>
      <c r="V93" s="301">
        <v>466606</v>
      </c>
      <c r="W93" s="301">
        <v>466606</v>
      </c>
      <c r="X93" s="302">
        <f t="shared" ref="X93:X95" si="2">W93-R93</f>
        <v>-6533394</v>
      </c>
    </row>
    <row r="94" spans="2:24" ht="30" x14ac:dyDescent="0.25">
      <c r="B94" s="84"/>
      <c r="C94" s="85"/>
      <c r="D94" s="85"/>
      <c r="E94" s="85"/>
      <c r="F94" s="85"/>
      <c r="G94" s="85"/>
      <c r="H94" s="85"/>
      <c r="I94" s="85"/>
      <c r="J94" s="86"/>
      <c r="K94" s="86" t="s">
        <v>106828</v>
      </c>
      <c r="L94" s="87" t="s">
        <v>113183</v>
      </c>
      <c r="M94" s="88" t="s">
        <v>113057</v>
      </c>
      <c r="N94" s="89">
        <v>45294</v>
      </c>
      <c r="O94" s="89" t="s">
        <v>113058</v>
      </c>
      <c r="P94" s="90" t="s">
        <v>113009</v>
      </c>
      <c r="Q94" s="90" t="s">
        <v>113006</v>
      </c>
      <c r="R94" s="91">
        <v>40000000</v>
      </c>
      <c r="S94" s="92"/>
      <c r="T94" s="93" t="s">
        <v>113033</v>
      </c>
      <c r="U94" s="300">
        <v>12324</v>
      </c>
      <c r="V94" s="301">
        <v>40000000</v>
      </c>
      <c r="W94" s="301">
        <v>40000000</v>
      </c>
      <c r="X94" s="302">
        <f t="shared" si="2"/>
        <v>0</v>
      </c>
    </row>
    <row r="95" spans="2:24" x14ac:dyDescent="0.25">
      <c r="B95" s="84"/>
      <c r="C95" s="85"/>
      <c r="D95" s="85"/>
      <c r="E95" s="85"/>
      <c r="F95" s="85"/>
      <c r="G95" s="85"/>
      <c r="H95" s="85"/>
      <c r="I95" s="85"/>
      <c r="J95" s="86"/>
      <c r="K95" s="86" t="s">
        <v>106828</v>
      </c>
      <c r="L95" s="117">
        <v>78111800</v>
      </c>
      <c r="M95" s="88" t="s">
        <v>113059</v>
      </c>
      <c r="N95" s="89">
        <v>45312</v>
      </c>
      <c r="O95" s="89" t="s">
        <v>113035</v>
      </c>
      <c r="P95" s="89" t="s">
        <v>113009</v>
      </c>
      <c r="Q95" s="89" t="s">
        <v>113050</v>
      </c>
      <c r="R95" s="91">
        <v>15000000</v>
      </c>
      <c r="S95" s="92"/>
      <c r="T95" s="93" t="s">
        <v>113033</v>
      </c>
      <c r="U95" s="300">
        <v>12424</v>
      </c>
      <c r="V95" s="301">
        <v>15000000</v>
      </c>
      <c r="W95" s="93"/>
      <c r="X95" s="302">
        <f t="shared" si="2"/>
        <v>-15000000</v>
      </c>
    </row>
    <row r="96" spans="2:24" x14ac:dyDescent="0.25">
      <c r="B96" s="338" t="s">
        <v>105516</v>
      </c>
      <c r="C96" s="338" t="s">
        <v>105573</v>
      </c>
      <c r="D96" s="338" t="s">
        <v>105573</v>
      </c>
      <c r="E96" s="338" t="s">
        <v>105573</v>
      </c>
      <c r="F96" s="338" t="s">
        <v>105547</v>
      </c>
      <c r="G96" s="338" t="s">
        <v>105553</v>
      </c>
      <c r="H96" s="68"/>
      <c r="I96" s="68"/>
      <c r="J96" s="68"/>
      <c r="K96" s="69"/>
      <c r="L96" s="69"/>
      <c r="M96" s="70" t="s">
        <v>106857</v>
      </c>
      <c r="N96" s="71"/>
      <c r="O96" s="71"/>
      <c r="P96" s="72"/>
      <c r="Q96" s="72"/>
      <c r="R96" s="73">
        <f>SUM(R97:R98)</f>
        <v>12700000</v>
      </c>
      <c r="S96" s="74"/>
      <c r="T96" s="75"/>
      <c r="U96" s="71" t="s">
        <v>112994</v>
      </c>
      <c r="V96" s="362" t="s">
        <v>112994</v>
      </c>
      <c r="W96" s="72"/>
      <c r="X96" s="72"/>
    </row>
    <row r="97" spans="2:24" x14ac:dyDescent="0.25">
      <c r="B97" s="84"/>
      <c r="C97" s="85"/>
      <c r="D97" s="85"/>
      <c r="E97" s="85"/>
      <c r="F97" s="85"/>
      <c r="G97" s="85"/>
      <c r="H97" s="85"/>
      <c r="I97" s="85"/>
      <c r="J97" s="86"/>
      <c r="K97" s="86"/>
      <c r="L97" s="51"/>
      <c r="M97" s="88" t="s">
        <v>113063</v>
      </c>
      <c r="N97" s="89" t="s">
        <v>113029</v>
      </c>
      <c r="O97" s="89" t="s">
        <v>113029</v>
      </c>
      <c r="P97" s="90" t="s">
        <v>113029</v>
      </c>
      <c r="Q97" s="89" t="s">
        <v>113029</v>
      </c>
      <c r="R97" s="91">
        <v>1500000</v>
      </c>
      <c r="S97" s="92"/>
      <c r="T97" s="93" t="s">
        <v>113030</v>
      </c>
      <c r="U97" s="300">
        <v>17924</v>
      </c>
      <c r="V97" s="301">
        <v>150000</v>
      </c>
      <c r="W97" s="301">
        <v>150000</v>
      </c>
      <c r="X97" s="302">
        <f t="shared" ref="X97:X98" si="3">W97-R97</f>
        <v>-1350000</v>
      </c>
    </row>
    <row r="98" spans="2:24" ht="30" x14ac:dyDescent="0.25">
      <c r="B98" s="84"/>
      <c r="C98" s="85"/>
      <c r="D98" s="85"/>
      <c r="E98" s="85"/>
      <c r="F98" s="85"/>
      <c r="G98" s="85"/>
      <c r="H98" s="85"/>
      <c r="I98" s="85"/>
      <c r="J98" s="86"/>
      <c r="K98" s="86" t="s">
        <v>106856</v>
      </c>
      <c r="L98" s="117"/>
      <c r="M98" s="88" t="s">
        <v>113061</v>
      </c>
      <c r="N98" s="89">
        <v>45332</v>
      </c>
      <c r="O98" s="89" t="s">
        <v>113035</v>
      </c>
      <c r="P98" s="90" t="s">
        <v>113009</v>
      </c>
      <c r="Q98" s="89" t="s">
        <v>113281</v>
      </c>
      <c r="R98" s="91">
        <v>11200000</v>
      </c>
      <c r="S98" s="92"/>
      <c r="T98" s="93" t="s">
        <v>113062</v>
      </c>
      <c r="U98" s="300">
        <v>42924</v>
      </c>
      <c r="V98" s="301">
        <v>11200000</v>
      </c>
      <c r="W98" s="301">
        <v>11200000</v>
      </c>
      <c r="X98" s="302">
        <f t="shared" si="3"/>
        <v>0</v>
      </c>
    </row>
    <row r="99" spans="2:24" ht="30" x14ac:dyDescent="0.25">
      <c r="B99" s="338" t="s">
        <v>105516</v>
      </c>
      <c r="C99" s="338" t="s">
        <v>105573</v>
      </c>
      <c r="D99" s="338" t="s">
        <v>105573</v>
      </c>
      <c r="E99" s="338" t="s">
        <v>105573</v>
      </c>
      <c r="F99" s="338" t="s">
        <v>105547</v>
      </c>
      <c r="G99" s="338" t="s">
        <v>105556</v>
      </c>
      <c r="H99" s="68"/>
      <c r="I99" s="68"/>
      <c r="J99" s="68"/>
      <c r="K99" s="69"/>
      <c r="L99" s="69"/>
      <c r="M99" s="70" t="s">
        <v>106859</v>
      </c>
      <c r="N99" s="71"/>
      <c r="O99" s="71"/>
      <c r="P99" s="72"/>
      <c r="Q99" s="72"/>
      <c r="R99" s="73">
        <f>SUM(R100)</f>
        <v>346000000</v>
      </c>
      <c r="S99" s="74"/>
      <c r="T99" s="75"/>
      <c r="U99" s="71" t="s">
        <v>112994</v>
      </c>
      <c r="V99" s="362" t="s">
        <v>112994</v>
      </c>
      <c r="W99" s="72"/>
      <c r="X99" s="72"/>
    </row>
    <row r="100" spans="2:24" ht="30" x14ac:dyDescent="0.25">
      <c r="B100" s="76" t="s">
        <v>105516</v>
      </c>
      <c r="C100" s="76" t="s">
        <v>105573</v>
      </c>
      <c r="D100" s="76" t="s">
        <v>105573</v>
      </c>
      <c r="E100" s="76" t="s">
        <v>105573</v>
      </c>
      <c r="F100" s="76" t="s">
        <v>105547</v>
      </c>
      <c r="G100" s="76" t="s">
        <v>105556</v>
      </c>
      <c r="H100" s="76" t="s">
        <v>105520</v>
      </c>
      <c r="I100" s="76"/>
      <c r="J100" s="76"/>
      <c r="K100" s="76"/>
      <c r="L100" s="76"/>
      <c r="M100" s="78" t="s">
        <v>106861</v>
      </c>
      <c r="N100" s="79"/>
      <c r="O100" s="79"/>
      <c r="P100" s="80"/>
      <c r="Q100" s="80"/>
      <c r="R100" s="81">
        <f>SUM(R101)</f>
        <v>346000000</v>
      </c>
      <c r="S100" s="82"/>
      <c r="T100" s="96"/>
      <c r="U100" s="79"/>
      <c r="V100" s="363"/>
      <c r="W100" s="80"/>
      <c r="X100" s="80"/>
    </row>
    <row r="101" spans="2:24" ht="27" customHeight="1" x14ac:dyDescent="0.25">
      <c r="B101" s="84"/>
      <c r="C101" s="85"/>
      <c r="D101" s="85"/>
      <c r="E101" s="85"/>
      <c r="F101" s="85"/>
      <c r="G101" s="85"/>
      <c r="H101" s="85"/>
      <c r="I101" s="85"/>
      <c r="J101" s="86"/>
      <c r="K101" s="86" t="s">
        <v>106858</v>
      </c>
      <c r="L101" s="118"/>
      <c r="M101" s="88" t="s">
        <v>113064</v>
      </c>
      <c r="N101" s="89">
        <v>45293</v>
      </c>
      <c r="O101" s="89" t="s">
        <v>113058</v>
      </c>
      <c r="P101" s="90" t="s">
        <v>113009</v>
      </c>
      <c r="Q101" s="89" t="s">
        <v>113029</v>
      </c>
      <c r="R101" s="320">
        <f>300000000+46000000</f>
        <v>346000000</v>
      </c>
      <c r="S101" s="119"/>
      <c r="T101" s="93" t="s">
        <v>113062</v>
      </c>
      <c r="U101" s="300" t="s">
        <v>113302</v>
      </c>
      <c r="V101" s="301">
        <f>241736912+2549099</f>
        <v>244286011</v>
      </c>
      <c r="W101" s="301">
        <f>240904090.1+2549099</f>
        <v>243453189.09999999</v>
      </c>
      <c r="X101" s="302">
        <f>W101-R101</f>
        <v>-102546810.90000001</v>
      </c>
    </row>
    <row r="102" spans="2:24" ht="30" x14ac:dyDescent="0.25">
      <c r="B102" s="59" t="s">
        <v>105516</v>
      </c>
      <c r="C102" s="59" t="s">
        <v>105573</v>
      </c>
      <c r="D102" s="59" t="s">
        <v>105573</v>
      </c>
      <c r="E102" s="59" t="s">
        <v>105573</v>
      </c>
      <c r="F102" s="59" t="s">
        <v>105550</v>
      </c>
      <c r="G102" s="59"/>
      <c r="H102" s="59"/>
      <c r="I102" s="59"/>
      <c r="J102" s="59"/>
      <c r="K102" s="60"/>
      <c r="L102" s="61"/>
      <c r="M102" s="62" t="s">
        <v>113324</v>
      </c>
      <c r="N102" s="63"/>
      <c r="O102" s="63"/>
      <c r="P102" s="64"/>
      <c r="Q102" s="64"/>
      <c r="R102" s="65">
        <f>+R103</f>
        <v>3273000000</v>
      </c>
      <c r="S102" s="66"/>
      <c r="T102" s="67"/>
      <c r="U102" s="63" t="s">
        <v>112994</v>
      </c>
      <c r="V102" s="361" t="s">
        <v>112994</v>
      </c>
      <c r="W102" s="64"/>
      <c r="X102" s="64"/>
    </row>
    <row r="103" spans="2:24" x14ac:dyDescent="0.25">
      <c r="B103" s="338" t="s">
        <v>105516</v>
      </c>
      <c r="C103" s="338" t="s">
        <v>105573</v>
      </c>
      <c r="D103" s="338" t="s">
        <v>105573</v>
      </c>
      <c r="E103" s="338" t="s">
        <v>105573</v>
      </c>
      <c r="F103" s="338" t="s">
        <v>105550</v>
      </c>
      <c r="G103" s="338" t="s">
        <v>105528</v>
      </c>
      <c r="H103" s="68"/>
      <c r="I103" s="68"/>
      <c r="J103" s="68"/>
      <c r="K103" s="69"/>
      <c r="L103" s="69"/>
      <c r="M103" s="70" t="s">
        <v>106867</v>
      </c>
      <c r="N103" s="71"/>
      <c r="O103" s="71"/>
      <c r="P103" s="72"/>
      <c r="Q103" s="72"/>
      <c r="R103" s="73">
        <f>+R104</f>
        <v>3273000000</v>
      </c>
      <c r="S103" s="74"/>
      <c r="T103" s="75"/>
      <c r="U103" s="71" t="s">
        <v>112994</v>
      </c>
      <c r="V103" s="362" t="s">
        <v>112994</v>
      </c>
      <c r="W103" s="72"/>
      <c r="X103" s="72"/>
    </row>
    <row r="104" spans="2:24" ht="45" customHeight="1" x14ac:dyDescent="0.25">
      <c r="B104" s="76" t="s">
        <v>105516</v>
      </c>
      <c r="C104" s="76" t="s">
        <v>105573</v>
      </c>
      <c r="D104" s="76" t="s">
        <v>105573</v>
      </c>
      <c r="E104" s="76" t="s">
        <v>105573</v>
      </c>
      <c r="F104" s="76" t="s">
        <v>105550</v>
      </c>
      <c r="G104" s="76" t="s">
        <v>105528</v>
      </c>
      <c r="H104" s="76" t="s">
        <v>105675</v>
      </c>
      <c r="I104" s="76"/>
      <c r="J104" s="76"/>
      <c r="K104" s="76"/>
      <c r="L104" s="76"/>
      <c r="M104" s="78" t="s">
        <v>113332</v>
      </c>
      <c r="N104" s="79"/>
      <c r="O104" s="79"/>
      <c r="P104" s="80"/>
      <c r="Q104" s="80"/>
      <c r="R104" s="81">
        <f>+R105</f>
        <v>3273000000</v>
      </c>
      <c r="S104" s="82"/>
      <c r="T104" s="96"/>
      <c r="U104" s="79"/>
      <c r="V104" s="363"/>
      <c r="W104" s="80"/>
      <c r="X104" s="80"/>
    </row>
    <row r="105" spans="2:24" ht="30" x14ac:dyDescent="0.25">
      <c r="B105" s="76" t="s">
        <v>105516</v>
      </c>
      <c r="C105" s="76" t="s">
        <v>105573</v>
      </c>
      <c r="D105" s="76" t="s">
        <v>105573</v>
      </c>
      <c r="E105" s="76" t="s">
        <v>105573</v>
      </c>
      <c r="F105" s="76" t="s">
        <v>105550</v>
      </c>
      <c r="G105" s="76" t="s">
        <v>105528</v>
      </c>
      <c r="H105" s="76" t="s">
        <v>105675</v>
      </c>
      <c r="I105" s="76" t="s">
        <v>106217</v>
      </c>
      <c r="J105" s="76"/>
      <c r="K105" s="76"/>
      <c r="L105" s="76"/>
      <c r="M105" s="78" t="s">
        <v>106892</v>
      </c>
      <c r="N105" s="79"/>
      <c r="O105" s="79"/>
      <c r="P105" s="80"/>
      <c r="Q105" s="80"/>
      <c r="R105" s="81">
        <f>+R106</f>
        <v>3273000000</v>
      </c>
      <c r="S105" s="82"/>
      <c r="T105" s="96"/>
      <c r="U105" s="79"/>
      <c r="V105" s="363"/>
      <c r="W105" s="80"/>
      <c r="X105" s="80"/>
    </row>
    <row r="106" spans="2:24" ht="30" x14ac:dyDescent="0.25">
      <c r="B106" s="76" t="s">
        <v>105516</v>
      </c>
      <c r="C106" s="76" t="s">
        <v>105573</v>
      </c>
      <c r="D106" s="76" t="s">
        <v>105573</v>
      </c>
      <c r="E106" s="76" t="s">
        <v>105573</v>
      </c>
      <c r="F106" s="76" t="s">
        <v>105550</v>
      </c>
      <c r="G106" s="76" t="s">
        <v>105528</v>
      </c>
      <c r="H106" s="76" t="s">
        <v>105675</v>
      </c>
      <c r="I106" s="76" t="s">
        <v>106217</v>
      </c>
      <c r="J106" s="76" t="s">
        <v>105917</v>
      </c>
      <c r="K106" s="76"/>
      <c r="L106" s="76"/>
      <c r="M106" s="78" t="s">
        <v>106900</v>
      </c>
      <c r="N106" s="79"/>
      <c r="O106" s="79"/>
      <c r="P106" s="80"/>
      <c r="Q106" s="80"/>
      <c r="R106" s="81">
        <f>SUM(R107:R107)</f>
        <v>3273000000</v>
      </c>
      <c r="S106" s="82"/>
      <c r="T106" s="96"/>
      <c r="U106" s="79"/>
      <c r="V106" s="363"/>
      <c r="W106" s="80"/>
      <c r="X106" s="80"/>
    </row>
    <row r="107" spans="2:24" ht="30" x14ac:dyDescent="0.25">
      <c r="B107" s="84"/>
      <c r="C107" s="85"/>
      <c r="D107" s="85"/>
      <c r="E107" s="85"/>
      <c r="F107" s="85"/>
      <c r="G107" s="85"/>
      <c r="H107" s="85"/>
      <c r="I107" s="85"/>
      <c r="J107" s="86"/>
      <c r="K107" s="85" t="s">
        <v>106866</v>
      </c>
      <c r="L107" s="342" t="s">
        <v>113065</v>
      </c>
      <c r="M107" s="120" t="s">
        <v>106900</v>
      </c>
      <c r="N107" s="114">
        <v>45293</v>
      </c>
      <c r="O107" s="89" t="s">
        <v>113058</v>
      </c>
      <c r="P107" s="121" t="s">
        <v>113066</v>
      </c>
      <c r="Q107" s="121" t="s">
        <v>113067</v>
      </c>
      <c r="R107" s="91">
        <v>3273000000</v>
      </c>
      <c r="S107" s="91"/>
      <c r="T107" s="93" t="s">
        <v>112999</v>
      </c>
      <c r="U107" s="300">
        <v>124</v>
      </c>
      <c r="V107" s="301">
        <v>3272580967</v>
      </c>
      <c r="W107" s="301">
        <v>3272580967</v>
      </c>
      <c r="X107" s="302">
        <f>W107-R107</f>
        <v>-419033</v>
      </c>
    </row>
    <row r="108" spans="2:24" ht="30" x14ac:dyDescent="0.25">
      <c r="B108" s="59" t="s">
        <v>105516</v>
      </c>
      <c r="C108" s="59" t="s">
        <v>105573</v>
      </c>
      <c r="D108" s="59" t="s">
        <v>105573</v>
      </c>
      <c r="E108" s="59" t="s">
        <v>105573</v>
      </c>
      <c r="F108" s="59" t="s">
        <v>105553</v>
      </c>
      <c r="G108" s="59"/>
      <c r="H108" s="59"/>
      <c r="I108" s="59"/>
      <c r="J108" s="59"/>
      <c r="K108" s="60"/>
      <c r="L108" s="61"/>
      <c r="M108" s="62" t="s">
        <v>106978</v>
      </c>
      <c r="N108" s="63"/>
      <c r="O108" s="63"/>
      <c r="P108" s="64"/>
      <c r="Q108" s="64"/>
      <c r="R108" s="65">
        <f>+R109+R117+R176+R184+R188</f>
        <v>2568400000</v>
      </c>
      <c r="S108" s="66"/>
      <c r="T108" s="67"/>
      <c r="U108" s="63" t="s">
        <v>112994</v>
      </c>
      <c r="V108" s="361" t="s">
        <v>112994</v>
      </c>
      <c r="W108" s="64"/>
      <c r="X108" s="64"/>
    </row>
    <row r="109" spans="2:24" x14ac:dyDescent="0.25">
      <c r="B109" s="338" t="s">
        <v>105516</v>
      </c>
      <c r="C109" s="338" t="s">
        <v>105573</v>
      </c>
      <c r="D109" s="338" t="s">
        <v>105573</v>
      </c>
      <c r="E109" s="338" t="s">
        <v>105573</v>
      </c>
      <c r="F109" s="338" t="s">
        <v>105553</v>
      </c>
      <c r="G109" s="338" t="s">
        <v>105535</v>
      </c>
      <c r="H109" s="68"/>
      <c r="I109" s="68"/>
      <c r="J109" s="68"/>
      <c r="K109" s="69"/>
      <c r="L109" s="69"/>
      <c r="M109" s="70" t="s">
        <v>106988</v>
      </c>
      <c r="N109" s="71"/>
      <c r="O109" s="71"/>
      <c r="P109" s="72"/>
      <c r="Q109" s="72"/>
      <c r="R109" s="73">
        <f>+R110</f>
        <v>187650000</v>
      </c>
      <c r="S109" s="74"/>
      <c r="T109" s="75"/>
      <c r="U109" s="71" t="s">
        <v>112994</v>
      </c>
      <c r="V109" s="362" t="s">
        <v>112994</v>
      </c>
      <c r="W109" s="72"/>
      <c r="X109" s="72"/>
    </row>
    <row r="110" spans="2:24" x14ac:dyDescent="0.25">
      <c r="B110" s="76" t="s">
        <v>105516</v>
      </c>
      <c r="C110" s="76" t="s">
        <v>105573</v>
      </c>
      <c r="D110" s="76" t="s">
        <v>105573</v>
      </c>
      <c r="E110" s="76" t="s">
        <v>105573</v>
      </c>
      <c r="F110" s="76" t="s">
        <v>105553</v>
      </c>
      <c r="G110" s="76" t="s">
        <v>105535</v>
      </c>
      <c r="H110" s="76" t="s">
        <v>105520</v>
      </c>
      <c r="I110" s="76"/>
      <c r="J110" s="76"/>
      <c r="K110" s="76"/>
      <c r="L110" s="76"/>
      <c r="M110" s="78" t="s">
        <v>106990</v>
      </c>
      <c r="N110" s="79"/>
      <c r="O110" s="79"/>
      <c r="P110" s="80"/>
      <c r="Q110" s="80"/>
      <c r="R110" s="81">
        <f>SUM(R111:R116,)</f>
        <v>187650000</v>
      </c>
      <c r="S110" s="82"/>
      <c r="T110" s="96"/>
      <c r="U110" s="79"/>
      <c r="V110" s="363"/>
      <c r="W110" s="80"/>
      <c r="X110" s="80"/>
    </row>
    <row r="111" spans="2:24" ht="123.75" customHeight="1" x14ac:dyDescent="0.25">
      <c r="B111" s="84"/>
      <c r="C111" s="85"/>
      <c r="D111" s="85"/>
      <c r="E111" s="85"/>
      <c r="F111" s="85"/>
      <c r="G111" s="85"/>
      <c r="H111" s="85"/>
      <c r="I111" s="85"/>
      <c r="J111" s="86"/>
      <c r="K111" s="86" t="s">
        <v>106987</v>
      </c>
      <c r="L111" s="87" t="s">
        <v>113280</v>
      </c>
      <c r="M111" s="88" t="s">
        <v>113071</v>
      </c>
      <c r="N111" s="89">
        <v>45301</v>
      </c>
      <c r="O111" s="89" t="s">
        <v>113168</v>
      </c>
      <c r="P111" s="90" t="s">
        <v>113009</v>
      </c>
      <c r="Q111" s="90" t="s">
        <v>113069</v>
      </c>
      <c r="R111" s="91">
        <f>62700000/2</f>
        <v>31350000</v>
      </c>
      <c r="S111" s="92"/>
      <c r="T111" s="88" t="s">
        <v>113072</v>
      </c>
      <c r="U111" s="300">
        <v>4124</v>
      </c>
      <c r="V111" s="301">
        <v>21900000</v>
      </c>
      <c r="W111" s="301">
        <v>21900000</v>
      </c>
      <c r="X111" s="302">
        <f t="shared" ref="X111:X116" si="4">W111-R111</f>
        <v>-9450000</v>
      </c>
    </row>
    <row r="112" spans="2:24" ht="123.75" customHeight="1" x14ac:dyDescent="0.25">
      <c r="B112" s="84"/>
      <c r="C112" s="85"/>
      <c r="D112" s="85"/>
      <c r="E112" s="85"/>
      <c r="F112" s="85"/>
      <c r="G112" s="85"/>
      <c r="H112" s="85"/>
      <c r="I112" s="85"/>
      <c r="J112" s="86"/>
      <c r="K112" s="86" t="s">
        <v>106987</v>
      </c>
      <c r="L112" s="87" t="s">
        <v>113280</v>
      </c>
      <c r="M112" s="88" t="s">
        <v>113071</v>
      </c>
      <c r="N112" s="89">
        <v>45475</v>
      </c>
      <c r="O112" s="89" t="s">
        <v>112996</v>
      </c>
      <c r="P112" s="90" t="s">
        <v>113137</v>
      </c>
      <c r="Q112" s="90" t="s">
        <v>113069</v>
      </c>
      <c r="R112" s="320">
        <v>32300000</v>
      </c>
      <c r="S112" s="92"/>
      <c r="T112" s="88" t="s">
        <v>113072</v>
      </c>
      <c r="U112" s="300">
        <v>63524</v>
      </c>
      <c r="V112" s="301">
        <v>32300000</v>
      </c>
      <c r="W112" s="301"/>
      <c r="X112" s="302">
        <f t="shared" si="4"/>
        <v>-32300000</v>
      </c>
    </row>
    <row r="113" spans="2:24" ht="68.25" customHeight="1" x14ac:dyDescent="0.25">
      <c r="B113" s="84"/>
      <c r="C113" s="85"/>
      <c r="D113" s="85"/>
      <c r="E113" s="85"/>
      <c r="F113" s="85"/>
      <c r="G113" s="85"/>
      <c r="H113" s="85"/>
      <c r="I113" s="85"/>
      <c r="J113" s="86"/>
      <c r="K113" s="86" t="s">
        <v>106987</v>
      </c>
      <c r="L113" s="87" t="s">
        <v>113280</v>
      </c>
      <c r="M113" s="88" t="s">
        <v>113275</v>
      </c>
      <c r="N113" s="89">
        <v>45300</v>
      </c>
      <c r="O113" s="89" t="s">
        <v>113249</v>
      </c>
      <c r="P113" s="90" t="s">
        <v>113174</v>
      </c>
      <c r="Q113" s="90" t="s">
        <v>113051</v>
      </c>
      <c r="R113" s="91">
        <f>62700000/2</f>
        <v>31350000</v>
      </c>
      <c r="S113" s="92"/>
      <c r="T113" s="93" t="s">
        <v>113070</v>
      </c>
      <c r="U113" s="300">
        <v>4024</v>
      </c>
      <c r="V113" s="301">
        <v>31350000</v>
      </c>
      <c r="W113" s="301">
        <v>31350000</v>
      </c>
      <c r="X113" s="302">
        <f t="shared" si="4"/>
        <v>0</v>
      </c>
    </row>
    <row r="114" spans="2:24" ht="68.25" customHeight="1" x14ac:dyDescent="0.25">
      <c r="B114" s="84"/>
      <c r="C114" s="85"/>
      <c r="D114" s="85"/>
      <c r="E114" s="85"/>
      <c r="F114" s="85"/>
      <c r="G114" s="85"/>
      <c r="H114" s="85"/>
      <c r="I114" s="85"/>
      <c r="J114" s="86"/>
      <c r="K114" s="86" t="s">
        <v>106987</v>
      </c>
      <c r="L114" s="87" t="s">
        <v>113280</v>
      </c>
      <c r="M114" s="88" t="s">
        <v>113275</v>
      </c>
      <c r="N114" s="89">
        <v>45475</v>
      </c>
      <c r="O114" s="89" t="s">
        <v>112996</v>
      </c>
      <c r="P114" s="90" t="s">
        <v>113137</v>
      </c>
      <c r="Q114" s="90" t="s">
        <v>113069</v>
      </c>
      <c r="R114" s="320">
        <v>32300000</v>
      </c>
      <c r="S114" s="92"/>
      <c r="T114" s="93" t="s">
        <v>113070</v>
      </c>
      <c r="U114" s="300">
        <v>59524</v>
      </c>
      <c r="V114" s="301">
        <v>32300000</v>
      </c>
      <c r="W114" s="301">
        <v>32300000</v>
      </c>
      <c r="X114" s="302">
        <f t="shared" si="4"/>
        <v>0</v>
      </c>
    </row>
    <row r="115" spans="2:24" ht="123.75" customHeight="1" x14ac:dyDescent="0.25">
      <c r="B115" s="84"/>
      <c r="C115" s="85"/>
      <c r="D115" s="85"/>
      <c r="E115" s="85"/>
      <c r="F115" s="85"/>
      <c r="G115" s="85"/>
      <c r="H115" s="85"/>
      <c r="I115" s="85"/>
      <c r="J115" s="86"/>
      <c r="K115" s="86" t="s">
        <v>106987</v>
      </c>
      <c r="L115" s="87" t="s">
        <v>113280</v>
      </c>
      <c r="M115" s="88" t="s">
        <v>113276</v>
      </c>
      <c r="N115" s="89">
        <v>45300</v>
      </c>
      <c r="O115" s="89" t="s">
        <v>113249</v>
      </c>
      <c r="P115" s="90" t="s">
        <v>113277</v>
      </c>
      <c r="Q115" s="90" t="s">
        <v>113051</v>
      </c>
      <c r="R115" s="91">
        <f>31500000-150000</f>
        <v>31350000</v>
      </c>
      <c r="S115" s="92"/>
      <c r="T115" s="93" t="s">
        <v>113070</v>
      </c>
      <c r="U115" s="300">
        <v>4624</v>
      </c>
      <c r="V115" s="301">
        <v>31350000</v>
      </c>
      <c r="W115" s="301">
        <v>31350000</v>
      </c>
      <c r="X115" s="302">
        <f t="shared" si="4"/>
        <v>0</v>
      </c>
    </row>
    <row r="116" spans="2:24" ht="123.75" customHeight="1" x14ac:dyDescent="0.25">
      <c r="B116" s="84"/>
      <c r="C116" s="85"/>
      <c r="D116" s="85"/>
      <c r="E116" s="85"/>
      <c r="F116" s="85"/>
      <c r="G116" s="85"/>
      <c r="H116" s="85"/>
      <c r="I116" s="85"/>
      <c r="J116" s="86"/>
      <c r="K116" s="86" t="s">
        <v>106987</v>
      </c>
      <c r="L116" s="87" t="s">
        <v>113280</v>
      </c>
      <c r="M116" s="88" t="s">
        <v>113297</v>
      </c>
      <c r="N116" s="89">
        <v>45475</v>
      </c>
      <c r="O116" s="89" t="s">
        <v>112996</v>
      </c>
      <c r="P116" s="90" t="s">
        <v>113137</v>
      </c>
      <c r="Q116" s="90" t="s">
        <v>113051</v>
      </c>
      <c r="R116" s="295">
        <v>29000000</v>
      </c>
      <c r="S116" s="92"/>
      <c r="T116" s="93" t="s">
        <v>113070</v>
      </c>
      <c r="U116" s="300">
        <v>60624</v>
      </c>
      <c r="V116" s="301">
        <v>29000000</v>
      </c>
      <c r="W116" s="301">
        <v>28500000</v>
      </c>
      <c r="X116" s="302">
        <f t="shared" si="4"/>
        <v>-500000</v>
      </c>
    </row>
    <row r="117" spans="2:24" ht="54" customHeight="1" x14ac:dyDescent="0.25">
      <c r="B117" s="338" t="s">
        <v>105516</v>
      </c>
      <c r="C117" s="338" t="s">
        <v>105573</v>
      </c>
      <c r="D117" s="338" t="s">
        <v>105573</v>
      </c>
      <c r="E117" s="338" t="s">
        <v>105573</v>
      </c>
      <c r="F117" s="338" t="s">
        <v>105553</v>
      </c>
      <c r="G117" s="338" t="s">
        <v>105538</v>
      </c>
      <c r="H117" s="68"/>
      <c r="I117" s="68"/>
      <c r="J117" s="68"/>
      <c r="K117" s="69"/>
      <c r="L117" s="69"/>
      <c r="M117" s="70" t="s">
        <v>113325</v>
      </c>
      <c r="N117" s="71"/>
      <c r="O117" s="71"/>
      <c r="P117" s="72"/>
      <c r="Q117" s="72"/>
      <c r="R117" s="73">
        <f>+R118</f>
        <v>2124518000</v>
      </c>
      <c r="S117" s="74"/>
      <c r="T117" s="122"/>
      <c r="U117" s="71" t="s">
        <v>112994</v>
      </c>
      <c r="V117" s="362" t="s">
        <v>112994</v>
      </c>
      <c r="W117" s="72"/>
      <c r="X117" s="72"/>
    </row>
    <row r="118" spans="2:24" ht="30" x14ac:dyDescent="0.25">
      <c r="B118" s="76" t="s">
        <v>105516</v>
      </c>
      <c r="C118" s="76" t="s">
        <v>105573</v>
      </c>
      <c r="D118" s="76" t="s">
        <v>105573</v>
      </c>
      <c r="E118" s="76" t="s">
        <v>105573</v>
      </c>
      <c r="F118" s="76" t="s">
        <v>105553</v>
      </c>
      <c r="G118" s="76" t="s">
        <v>105538</v>
      </c>
      <c r="H118" s="76" t="s">
        <v>105520</v>
      </c>
      <c r="I118" s="76"/>
      <c r="J118" s="76"/>
      <c r="K118" s="76"/>
      <c r="L118" s="76"/>
      <c r="M118" s="78" t="s">
        <v>107000</v>
      </c>
      <c r="N118" s="79"/>
      <c r="O118" s="79"/>
      <c r="P118" s="80"/>
      <c r="Q118" s="80"/>
      <c r="R118" s="81">
        <f>+R119+R165+R167</f>
        <v>2124518000</v>
      </c>
      <c r="S118" s="82"/>
      <c r="T118" s="96"/>
      <c r="U118" s="79"/>
      <c r="V118" s="363"/>
      <c r="W118" s="80"/>
      <c r="X118" s="80"/>
    </row>
    <row r="119" spans="2:24" ht="30" x14ac:dyDescent="0.25">
      <c r="B119" s="76" t="s">
        <v>105516</v>
      </c>
      <c r="C119" s="76" t="s">
        <v>105573</v>
      </c>
      <c r="D119" s="76" t="s">
        <v>105573</v>
      </c>
      <c r="E119" s="76" t="s">
        <v>105573</v>
      </c>
      <c r="F119" s="76" t="s">
        <v>105553</v>
      </c>
      <c r="G119" s="76" t="s">
        <v>105538</v>
      </c>
      <c r="H119" s="76" t="s">
        <v>105520</v>
      </c>
      <c r="I119" s="76" t="s">
        <v>105576</v>
      </c>
      <c r="J119" s="115"/>
      <c r="K119" s="115"/>
      <c r="L119" s="115"/>
      <c r="M119" s="78" t="s">
        <v>107002</v>
      </c>
      <c r="N119" s="79"/>
      <c r="O119" s="79"/>
      <c r="P119" s="80"/>
      <c r="Q119" s="105"/>
      <c r="R119" s="81">
        <f>SUM(R120:R164)</f>
        <v>2012122334</v>
      </c>
      <c r="S119" s="82"/>
      <c r="T119" s="96"/>
      <c r="U119" s="79"/>
      <c r="V119" s="363"/>
      <c r="W119" s="80"/>
      <c r="X119" s="80"/>
    </row>
    <row r="120" spans="2:24" ht="45" x14ac:dyDescent="0.25">
      <c r="B120" s="84"/>
      <c r="C120" s="85"/>
      <c r="D120" s="85"/>
      <c r="E120" s="85"/>
      <c r="F120" s="85"/>
      <c r="G120" s="85"/>
      <c r="H120" s="85"/>
      <c r="I120" s="85"/>
      <c r="J120" s="86"/>
      <c r="K120" s="86" t="s">
        <v>106997</v>
      </c>
      <c r="L120" s="51">
        <v>81101500</v>
      </c>
      <c r="M120" s="97" t="s">
        <v>113182</v>
      </c>
      <c r="N120" s="89">
        <v>45322</v>
      </c>
      <c r="O120" s="89" t="s">
        <v>113035</v>
      </c>
      <c r="P120" s="90" t="s">
        <v>113020</v>
      </c>
      <c r="Q120" s="90" t="s">
        <v>113181</v>
      </c>
      <c r="R120" s="91">
        <v>0</v>
      </c>
      <c r="S120" s="123"/>
      <c r="T120" s="93" t="s">
        <v>113077</v>
      </c>
      <c r="U120" s="303"/>
      <c r="V120" s="301"/>
      <c r="W120" s="301"/>
      <c r="X120" s="302">
        <f t="shared" ref="X120:X164" si="5">W120-R120</f>
        <v>0</v>
      </c>
    </row>
    <row r="121" spans="2:24" ht="68.25" customHeight="1" x14ac:dyDescent="0.25">
      <c r="B121" s="84"/>
      <c r="C121" s="85"/>
      <c r="D121" s="85"/>
      <c r="E121" s="85"/>
      <c r="F121" s="85"/>
      <c r="G121" s="85"/>
      <c r="H121" s="85"/>
      <c r="I121" s="85"/>
      <c r="J121" s="86"/>
      <c r="K121" s="86" t="s">
        <v>106997</v>
      </c>
      <c r="L121" s="51">
        <v>81101500</v>
      </c>
      <c r="M121" s="97" t="s">
        <v>113278</v>
      </c>
      <c r="N121" s="89">
        <v>45322</v>
      </c>
      <c r="O121" s="89" t="s">
        <v>113035</v>
      </c>
      <c r="P121" s="90" t="s">
        <v>113020</v>
      </c>
      <c r="Q121" s="90" t="s">
        <v>113181</v>
      </c>
      <c r="R121" s="91">
        <f>(25909000+150000)-22000000</f>
        <v>4059000</v>
      </c>
      <c r="S121" s="98"/>
      <c r="T121" s="95" t="s">
        <v>113077</v>
      </c>
      <c r="U121" s="303"/>
      <c r="V121" s="301"/>
      <c r="W121" s="301"/>
      <c r="X121" s="302">
        <f t="shared" si="5"/>
        <v>-4059000</v>
      </c>
    </row>
    <row r="122" spans="2:24" ht="141.75" customHeight="1" x14ac:dyDescent="0.25">
      <c r="B122" s="84"/>
      <c r="C122" s="85"/>
      <c r="D122" s="85"/>
      <c r="E122" s="85"/>
      <c r="F122" s="85"/>
      <c r="G122" s="85"/>
      <c r="H122" s="85"/>
      <c r="I122" s="85"/>
      <c r="J122" s="86"/>
      <c r="K122" s="86" t="s">
        <v>106997</v>
      </c>
      <c r="L122" s="51">
        <v>80101500</v>
      </c>
      <c r="M122" s="97" t="s">
        <v>113342</v>
      </c>
      <c r="N122" s="89">
        <v>45460</v>
      </c>
      <c r="O122" s="89" t="s">
        <v>113171</v>
      </c>
      <c r="P122" s="90" t="s">
        <v>113001</v>
      </c>
      <c r="Q122" s="90" t="s">
        <v>113069</v>
      </c>
      <c r="R122" s="320">
        <f>62700000/2+6650000</f>
        <v>38000000</v>
      </c>
      <c r="S122" s="92"/>
      <c r="T122" s="95" t="s">
        <v>113010</v>
      </c>
      <c r="U122" s="300">
        <v>30324</v>
      </c>
      <c r="V122" s="301">
        <f>31350000+2850000</f>
        <v>34200000</v>
      </c>
      <c r="W122" s="301">
        <v>34200000</v>
      </c>
      <c r="X122" s="302">
        <f t="shared" si="5"/>
        <v>-3800000</v>
      </c>
    </row>
    <row r="123" spans="2:24" ht="30" x14ac:dyDescent="0.25">
      <c r="B123" s="84"/>
      <c r="C123" s="85"/>
      <c r="D123" s="85"/>
      <c r="E123" s="85"/>
      <c r="F123" s="85"/>
      <c r="G123" s="85"/>
      <c r="H123" s="85"/>
      <c r="I123" s="85"/>
      <c r="J123" s="86"/>
      <c r="K123" s="86" t="s">
        <v>106997</v>
      </c>
      <c r="L123" s="51">
        <v>80101500</v>
      </c>
      <c r="M123" s="97" t="s">
        <v>113074</v>
      </c>
      <c r="N123" s="89">
        <v>45545</v>
      </c>
      <c r="O123" s="89" t="s">
        <v>113075</v>
      </c>
      <c r="P123" s="90" t="s">
        <v>113076</v>
      </c>
      <c r="Q123" s="90" t="s">
        <v>113069</v>
      </c>
      <c r="R123" s="91">
        <v>23000000</v>
      </c>
      <c r="S123" s="92"/>
      <c r="T123" s="88" t="s">
        <v>113017</v>
      </c>
      <c r="U123" s="88"/>
      <c r="V123" s="301"/>
      <c r="W123" s="301"/>
      <c r="X123" s="302">
        <f t="shared" si="5"/>
        <v>-23000000</v>
      </c>
    </row>
    <row r="124" spans="2:24" ht="30" x14ac:dyDescent="0.25">
      <c r="B124" s="84"/>
      <c r="C124" s="85"/>
      <c r="D124" s="85"/>
      <c r="E124" s="85"/>
      <c r="F124" s="85"/>
      <c r="G124" s="85"/>
      <c r="H124" s="85"/>
      <c r="I124" s="85"/>
      <c r="J124" s="86"/>
      <c r="K124" s="86" t="s">
        <v>106997</v>
      </c>
      <c r="L124" s="87" t="s">
        <v>113081</v>
      </c>
      <c r="M124" s="97" t="s">
        <v>113082</v>
      </c>
      <c r="N124" s="89">
        <v>45308</v>
      </c>
      <c r="O124" s="89" t="s">
        <v>113035</v>
      </c>
      <c r="P124" s="90" t="s">
        <v>113020</v>
      </c>
      <c r="Q124" s="90" t="s">
        <v>112998</v>
      </c>
      <c r="R124" s="91">
        <v>40000000</v>
      </c>
      <c r="S124" s="92"/>
      <c r="T124" s="88" t="s">
        <v>113002</v>
      </c>
      <c r="U124" s="300">
        <v>3424</v>
      </c>
      <c r="V124" s="301">
        <v>40000000</v>
      </c>
      <c r="W124" s="301">
        <v>37388987.829999998</v>
      </c>
      <c r="X124" s="302">
        <f t="shared" si="5"/>
        <v>-2611012.1700000018</v>
      </c>
    </row>
    <row r="125" spans="2:24" ht="30" x14ac:dyDescent="0.25">
      <c r="B125" s="84"/>
      <c r="C125" s="85"/>
      <c r="D125" s="85"/>
      <c r="E125" s="85"/>
      <c r="F125" s="85"/>
      <c r="G125" s="85"/>
      <c r="H125" s="85"/>
      <c r="I125" s="85"/>
      <c r="J125" s="86"/>
      <c r="K125" s="86" t="s">
        <v>106997</v>
      </c>
      <c r="L125" s="51">
        <v>81111800</v>
      </c>
      <c r="M125" s="97" t="s">
        <v>113083</v>
      </c>
      <c r="N125" s="89">
        <v>45308</v>
      </c>
      <c r="O125" s="89" t="s">
        <v>113035</v>
      </c>
      <c r="P125" s="90" t="s">
        <v>113020</v>
      </c>
      <c r="Q125" s="90" t="s">
        <v>112998</v>
      </c>
      <c r="R125" s="91">
        <f>71000000+29000000</f>
        <v>100000000</v>
      </c>
      <c r="S125" s="92"/>
      <c r="T125" s="88" t="s">
        <v>113002</v>
      </c>
      <c r="U125" s="300">
        <v>3924</v>
      </c>
      <c r="V125" s="301">
        <v>100000000</v>
      </c>
      <c r="W125" s="88"/>
      <c r="X125" s="302">
        <f t="shared" si="5"/>
        <v>-100000000</v>
      </c>
    </row>
    <row r="126" spans="2:24" ht="45" x14ac:dyDescent="0.25">
      <c r="B126" s="84"/>
      <c r="C126" s="85"/>
      <c r="D126" s="85"/>
      <c r="E126" s="85"/>
      <c r="F126" s="85"/>
      <c r="G126" s="85"/>
      <c r="H126" s="85"/>
      <c r="I126" s="85"/>
      <c r="J126" s="86"/>
      <c r="K126" s="86" t="s">
        <v>106997</v>
      </c>
      <c r="L126" s="51">
        <v>81111500</v>
      </c>
      <c r="M126" s="97" t="s">
        <v>113085</v>
      </c>
      <c r="N126" s="89">
        <v>45300</v>
      </c>
      <c r="O126" s="89" t="s">
        <v>113035</v>
      </c>
      <c r="P126" s="90" t="s">
        <v>113009</v>
      </c>
      <c r="Q126" s="90" t="s">
        <v>113051</v>
      </c>
      <c r="R126" s="91">
        <f>(4100000*11)/2</f>
        <v>22550000</v>
      </c>
      <c r="S126" s="92"/>
      <c r="T126" s="88" t="s">
        <v>113002</v>
      </c>
      <c r="U126" s="300">
        <v>3524</v>
      </c>
      <c r="V126" s="301">
        <v>22500000</v>
      </c>
      <c r="W126" s="301">
        <v>20500000</v>
      </c>
      <c r="X126" s="302">
        <f t="shared" si="5"/>
        <v>-2050000</v>
      </c>
    </row>
    <row r="127" spans="2:24" ht="45" x14ac:dyDescent="0.25">
      <c r="B127" s="84"/>
      <c r="C127" s="85"/>
      <c r="D127" s="85"/>
      <c r="E127" s="85"/>
      <c r="F127" s="85"/>
      <c r="G127" s="85"/>
      <c r="H127" s="85"/>
      <c r="I127" s="85"/>
      <c r="J127" s="86"/>
      <c r="K127" s="86" t="s">
        <v>106997</v>
      </c>
      <c r="L127" s="51">
        <v>81111500</v>
      </c>
      <c r="M127" s="97" t="s">
        <v>113085</v>
      </c>
      <c r="N127" s="89">
        <v>45506</v>
      </c>
      <c r="O127" s="89" t="s">
        <v>113008</v>
      </c>
      <c r="P127" s="90" t="s">
        <v>113313</v>
      </c>
      <c r="Q127" s="90" t="s">
        <v>113051</v>
      </c>
      <c r="R127" s="320">
        <v>19200000</v>
      </c>
      <c r="S127" s="92"/>
      <c r="T127" s="88" t="s">
        <v>113002</v>
      </c>
      <c r="U127" s="300">
        <v>58324</v>
      </c>
      <c r="V127" s="352">
        <v>19200000</v>
      </c>
      <c r="W127" s="301"/>
      <c r="X127" s="302">
        <f t="shared" si="5"/>
        <v>-19200000</v>
      </c>
    </row>
    <row r="128" spans="2:24" ht="45" x14ac:dyDescent="0.25">
      <c r="B128" s="84"/>
      <c r="C128" s="85"/>
      <c r="D128" s="85"/>
      <c r="E128" s="85"/>
      <c r="F128" s="85"/>
      <c r="G128" s="85"/>
      <c r="H128" s="85"/>
      <c r="I128" s="85"/>
      <c r="J128" s="86"/>
      <c r="K128" s="86" t="s">
        <v>106997</v>
      </c>
      <c r="L128" s="51">
        <v>81111500</v>
      </c>
      <c r="M128" s="97" t="s">
        <v>113241</v>
      </c>
      <c r="N128" s="89">
        <v>45300</v>
      </c>
      <c r="O128" s="89" t="s">
        <v>113035</v>
      </c>
      <c r="P128" s="90" t="s">
        <v>113009</v>
      </c>
      <c r="Q128" s="90" t="s">
        <v>113051</v>
      </c>
      <c r="R128" s="91">
        <f>66000000/2</f>
        <v>33000000</v>
      </c>
      <c r="S128" s="92"/>
      <c r="T128" s="88" t="s">
        <v>113002</v>
      </c>
      <c r="U128" s="300">
        <v>28824</v>
      </c>
      <c r="V128" s="301">
        <v>33000000</v>
      </c>
      <c r="W128" s="301">
        <v>30000000</v>
      </c>
      <c r="X128" s="302">
        <f t="shared" si="5"/>
        <v>-3000000</v>
      </c>
    </row>
    <row r="129" spans="2:25" ht="45" x14ac:dyDescent="0.25">
      <c r="B129" s="84"/>
      <c r="C129" s="85"/>
      <c r="D129" s="85"/>
      <c r="E129" s="85"/>
      <c r="F129" s="85"/>
      <c r="G129" s="85"/>
      <c r="H129" s="85"/>
      <c r="I129" s="85"/>
      <c r="J129" s="86"/>
      <c r="K129" s="86" t="s">
        <v>106997</v>
      </c>
      <c r="L129" s="51">
        <v>81111500</v>
      </c>
      <c r="M129" s="97" t="s">
        <v>113241</v>
      </c>
      <c r="N129" s="89">
        <v>45550</v>
      </c>
      <c r="O129" s="89" t="s">
        <v>113075</v>
      </c>
      <c r="P129" s="90" t="s">
        <v>112997</v>
      </c>
      <c r="Q129" s="90" t="s">
        <v>113051</v>
      </c>
      <c r="R129" s="320">
        <v>21000000</v>
      </c>
      <c r="S129" s="92"/>
      <c r="T129" s="88" t="s">
        <v>113002</v>
      </c>
      <c r="U129" s="303"/>
      <c r="V129" s="301"/>
      <c r="W129" s="301"/>
      <c r="X129" s="302">
        <f t="shared" si="5"/>
        <v>-21000000</v>
      </c>
    </row>
    <row r="130" spans="2:25" ht="45" x14ac:dyDescent="0.25">
      <c r="B130" s="84"/>
      <c r="C130" s="85"/>
      <c r="D130" s="85"/>
      <c r="E130" s="85"/>
      <c r="F130" s="85"/>
      <c r="G130" s="85"/>
      <c r="H130" s="85"/>
      <c r="I130" s="85"/>
      <c r="J130" s="86"/>
      <c r="K130" s="86" t="s">
        <v>106997</v>
      </c>
      <c r="L130" s="51">
        <v>81111500</v>
      </c>
      <c r="M130" s="97" t="s">
        <v>113242</v>
      </c>
      <c r="N130" s="89">
        <v>45300</v>
      </c>
      <c r="O130" s="89" t="s">
        <v>113035</v>
      </c>
      <c r="P130" s="90" t="s">
        <v>113009</v>
      </c>
      <c r="Q130" s="90" t="s">
        <v>113051</v>
      </c>
      <c r="R130" s="91">
        <f>88000000/2-4000000</f>
        <v>40000000</v>
      </c>
      <c r="S130" s="92"/>
      <c r="T130" s="88" t="s">
        <v>113002</v>
      </c>
      <c r="U130" s="300">
        <v>3624</v>
      </c>
      <c r="V130" s="301">
        <v>40000000</v>
      </c>
      <c r="W130" s="301">
        <v>40000000</v>
      </c>
      <c r="X130" s="302">
        <f t="shared" si="5"/>
        <v>0</v>
      </c>
    </row>
    <row r="131" spans="2:25" ht="102" customHeight="1" x14ac:dyDescent="0.25">
      <c r="B131" s="84"/>
      <c r="C131" s="85"/>
      <c r="D131" s="85"/>
      <c r="E131" s="85"/>
      <c r="F131" s="85"/>
      <c r="G131" s="85"/>
      <c r="H131" s="85"/>
      <c r="I131" s="85"/>
      <c r="J131" s="86"/>
      <c r="K131" s="86" t="s">
        <v>106997</v>
      </c>
      <c r="L131" s="51">
        <v>81111500</v>
      </c>
      <c r="M131" s="97" t="s">
        <v>113347</v>
      </c>
      <c r="N131" s="89">
        <v>45475</v>
      </c>
      <c r="O131" s="89" t="s">
        <v>112996</v>
      </c>
      <c r="P131" s="90" t="s">
        <v>113314</v>
      </c>
      <c r="Q131" s="90" t="s">
        <v>113051</v>
      </c>
      <c r="R131" s="320">
        <f>45400000+4000000</f>
        <v>49400000</v>
      </c>
      <c r="S131" s="92"/>
      <c r="T131" s="88" t="s">
        <v>113002</v>
      </c>
      <c r="U131" s="300">
        <v>58324</v>
      </c>
      <c r="V131" s="352">
        <v>49400000</v>
      </c>
      <c r="W131" s="301"/>
      <c r="X131" s="302">
        <f t="shared" si="5"/>
        <v>-49400000</v>
      </c>
    </row>
    <row r="132" spans="2:25" ht="45" x14ac:dyDescent="0.25">
      <c r="B132" s="84"/>
      <c r="C132" s="85"/>
      <c r="D132" s="85"/>
      <c r="E132" s="85"/>
      <c r="F132" s="85"/>
      <c r="G132" s="85"/>
      <c r="H132" s="85"/>
      <c r="I132" s="85"/>
      <c r="J132" s="86"/>
      <c r="K132" s="86" t="s">
        <v>106997</v>
      </c>
      <c r="L132" s="51">
        <v>81111500</v>
      </c>
      <c r="M132" s="97" t="s">
        <v>113243</v>
      </c>
      <c r="N132" s="89">
        <v>45300</v>
      </c>
      <c r="O132" s="89" t="s">
        <v>113035</v>
      </c>
      <c r="P132" s="90" t="s">
        <v>113009</v>
      </c>
      <c r="Q132" s="90" t="s">
        <v>113051</v>
      </c>
      <c r="R132" s="320">
        <f>82500000/2+12000000</f>
        <v>53250000</v>
      </c>
      <c r="S132" s="92"/>
      <c r="T132" s="88" t="s">
        <v>113002</v>
      </c>
      <c r="U132" s="300">
        <v>35024</v>
      </c>
      <c r="V132" s="301">
        <v>41250000</v>
      </c>
      <c r="W132" s="301">
        <v>36000000</v>
      </c>
      <c r="X132" s="302">
        <f t="shared" si="5"/>
        <v>-17250000</v>
      </c>
    </row>
    <row r="133" spans="2:25" ht="67.5" customHeight="1" x14ac:dyDescent="0.25">
      <c r="B133" s="84"/>
      <c r="C133" s="85"/>
      <c r="D133" s="85"/>
      <c r="E133" s="85"/>
      <c r="F133" s="85"/>
      <c r="G133" s="85"/>
      <c r="H133" s="85"/>
      <c r="I133" s="85"/>
      <c r="J133" s="86"/>
      <c r="K133" s="86" t="s">
        <v>106997</v>
      </c>
      <c r="L133" s="51">
        <v>81111500</v>
      </c>
      <c r="M133" s="97" t="s">
        <v>113352</v>
      </c>
      <c r="N133" s="89">
        <v>45458</v>
      </c>
      <c r="O133" s="89" t="s">
        <v>112996</v>
      </c>
      <c r="P133" s="90" t="s">
        <v>113001</v>
      </c>
      <c r="Q133" s="90" t="s">
        <v>113051</v>
      </c>
      <c r="R133" s="295">
        <v>45000000</v>
      </c>
      <c r="S133" s="92"/>
      <c r="T133" s="88" t="s">
        <v>113002</v>
      </c>
      <c r="U133" s="300">
        <v>58324</v>
      </c>
      <c r="V133" s="352">
        <v>45000000</v>
      </c>
      <c r="W133" s="301"/>
      <c r="X133" s="302">
        <f t="shared" si="5"/>
        <v>-45000000</v>
      </c>
    </row>
    <row r="134" spans="2:25" ht="45" x14ac:dyDescent="0.25">
      <c r="B134" s="84"/>
      <c r="C134" s="85"/>
      <c r="D134" s="85"/>
      <c r="E134" s="85"/>
      <c r="F134" s="85"/>
      <c r="G134" s="85"/>
      <c r="H134" s="85"/>
      <c r="I134" s="85"/>
      <c r="J134" s="86"/>
      <c r="K134" s="86" t="s">
        <v>106997</v>
      </c>
      <c r="L134" s="51">
        <v>81111500</v>
      </c>
      <c r="M134" s="97" t="s">
        <v>113244</v>
      </c>
      <c r="N134" s="89">
        <v>45458</v>
      </c>
      <c r="O134" s="89" t="s">
        <v>112996</v>
      </c>
      <c r="P134" s="90" t="s">
        <v>113001</v>
      </c>
      <c r="Q134" s="90" t="s">
        <v>113051</v>
      </c>
      <c r="R134" s="295">
        <v>45000000</v>
      </c>
      <c r="S134" s="92"/>
      <c r="T134" s="88" t="s">
        <v>113002</v>
      </c>
      <c r="U134" s="300">
        <v>58324</v>
      </c>
      <c r="V134" s="352">
        <v>45000000</v>
      </c>
      <c r="W134" s="301"/>
      <c r="X134" s="302">
        <f t="shared" si="5"/>
        <v>-45000000</v>
      </c>
    </row>
    <row r="135" spans="2:25" ht="45" x14ac:dyDescent="0.25">
      <c r="B135" s="84"/>
      <c r="C135" s="85"/>
      <c r="D135" s="85"/>
      <c r="E135" s="85"/>
      <c r="F135" s="85"/>
      <c r="G135" s="85"/>
      <c r="H135" s="85"/>
      <c r="I135" s="85"/>
      <c r="J135" s="86"/>
      <c r="K135" s="86" t="s">
        <v>106997</v>
      </c>
      <c r="L135" s="51">
        <v>81111500</v>
      </c>
      <c r="M135" s="97" t="s">
        <v>113244</v>
      </c>
      <c r="N135" s="89">
        <v>45474</v>
      </c>
      <c r="O135" s="89" t="s">
        <v>112996</v>
      </c>
      <c r="P135" s="90" t="s">
        <v>113005</v>
      </c>
      <c r="Q135" s="90" t="s">
        <v>113051</v>
      </c>
      <c r="R135" s="295">
        <v>30000000</v>
      </c>
      <c r="S135" s="92"/>
      <c r="T135" s="88" t="s">
        <v>113002</v>
      </c>
      <c r="U135" s="303"/>
      <c r="V135" s="301"/>
      <c r="W135" s="301"/>
      <c r="X135" s="302">
        <f t="shared" si="5"/>
        <v>-30000000</v>
      </c>
    </row>
    <row r="136" spans="2:25" ht="45" x14ac:dyDescent="0.25">
      <c r="B136" s="84"/>
      <c r="C136" s="85"/>
      <c r="D136" s="85"/>
      <c r="E136" s="85"/>
      <c r="F136" s="85"/>
      <c r="G136" s="85"/>
      <c r="H136" s="85"/>
      <c r="I136" s="85"/>
      <c r="J136" s="86"/>
      <c r="K136" s="86" t="s">
        <v>106997</v>
      </c>
      <c r="L136" s="51">
        <v>81111500</v>
      </c>
      <c r="M136" s="97" t="s">
        <v>113244</v>
      </c>
      <c r="N136" s="89">
        <v>45474</v>
      </c>
      <c r="O136" s="89" t="s">
        <v>112996</v>
      </c>
      <c r="P136" s="90" t="s">
        <v>113005</v>
      </c>
      <c r="Q136" s="90" t="s">
        <v>113051</v>
      </c>
      <c r="R136" s="295">
        <v>30000000</v>
      </c>
      <c r="S136" s="92"/>
      <c r="T136" s="88" t="s">
        <v>113002</v>
      </c>
      <c r="U136" s="303"/>
      <c r="V136" s="301"/>
      <c r="W136" s="301"/>
      <c r="X136" s="302">
        <f t="shared" si="5"/>
        <v>-30000000</v>
      </c>
    </row>
    <row r="137" spans="2:25" ht="30" x14ac:dyDescent="0.25">
      <c r="B137" s="84"/>
      <c r="C137" s="85"/>
      <c r="D137" s="85"/>
      <c r="E137" s="85"/>
      <c r="F137" s="85"/>
      <c r="G137" s="85"/>
      <c r="H137" s="85"/>
      <c r="I137" s="85"/>
      <c r="J137" s="86"/>
      <c r="K137" s="86"/>
      <c r="L137" s="51">
        <v>81111500</v>
      </c>
      <c r="M137" s="97" t="s">
        <v>113295</v>
      </c>
      <c r="N137" s="89">
        <v>45458</v>
      </c>
      <c r="O137" s="89" t="s">
        <v>112996</v>
      </c>
      <c r="P137" s="90" t="s">
        <v>113001</v>
      </c>
      <c r="Q137" s="90" t="s">
        <v>113051</v>
      </c>
      <c r="R137" s="295">
        <v>48000000</v>
      </c>
      <c r="S137" s="92"/>
      <c r="T137" s="88" t="s">
        <v>113002</v>
      </c>
      <c r="U137" s="300">
        <v>58324</v>
      </c>
      <c r="V137" s="352">
        <v>48000000</v>
      </c>
      <c r="W137" s="301"/>
      <c r="X137" s="302">
        <f t="shared" si="5"/>
        <v>-48000000</v>
      </c>
    </row>
    <row r="138" spans="2:25" ht="30" x14ac:dyDescent="0.25">
      <c r="B138" s="84"/>
      <c r="C138" s="85"/>
      <c r="D138" s="85"/>
      <c r="E138" s="85"/>
      <c r="F138" s="85"/>
      <c r="G138" s="85"/>
      <c r="H138" s="85"/>
      <c r="I138" s="85"/>
      <c r="J138" s="86"/>
      <c r="K138" s="86"/>
      <c r="L138" s="51">
        <v>81111500</v>
      </c>
      <c r="M138" s="97" t="s">
        <v>113296</v>
      </c>
      <c r="N138" s="89">
        <v>45458</v>
      </c>
      <c r="O138" s="89" t="s">
        <v>112996</v>
      </c>
      <c r="P138" s="90" t="s">
        <v>113001</v>
      </c>
      <c r="Q138" s="90" t="s">
        <v>113051</v>
      </c>
      <c r="R138" s="295">
        <v>48000000</v>
      </c>
      <c r="S138" s="92"/>
      <c r="T138" s="88" t="s">
        <v>113002</v>
      </c>
      <c r="U138" s="300">
        <v>58324</v>
      </c>
      <c r="V138" s="352">
        <v>48000000</v>
      </c>
      <c r="W138" s="301"/>
      <c r="X138" s="302">
        <f t="shared" si="5"/>
        <v>-48000000</v>
      </c>
    </row>
    <row r="139" spans="2:25" ht="30" x14ac:dyDescent="0.25">
      <c r="B139" s="84"/>
      <c r="C139" s="85"/>
      <c r="D139" s="85"/>
      <c r="E139" s="85"/>
      <c r="F139" s="85"/>
      <c r="G139" s="85"/>
      <c r="H139" s="85"/>
      <c r="I139" s="85"/>
      <c r="J139" s="86"/>
      <c r="K139" s="86"/>
      <c r="L139" s="51">
        <v>81111500</v>
      </c>
      <c r="M139" s="97" t="s">
        <v>113296</v>
      </c>
      <c r="N139" s="89">
        <v>45474</v>
      </c>
      <c r="O139" s="89" t="s">
        <v>112996</v>
      </c>
      <c r="P139" s="90" t="s">
        <v>113005</v>
      </c>
      <c r="Q139" s="90" t="s">
        <v>113051</v>
      </c>
      <c r="R139" s="295">
        <v>32000000</v>
      </c>
      <c r="S139" s="92"/>
      <c r="T139" s="88" t="s">
        <v>113002</v>
      </c>
      <c r="U139" s="303"/>
      <c r="V139" s="301"/>
      <c r="W139" s="301"/>
      <c r="X139" s="302">
        <f t="shared" si="5"/>
        <v>-32000000</v>
      </c>
    </row>
    <row r="140" spans="2:25" ht="30" x14ac:dyDescent="0.25">
      <c r="B140" s="84"/>
      <c r="C140" s="85"/>
      <c r="D140" s="85"/>
      <c r="E140" s="85"/>
      <c r="F140" s="85"/>
      <c r="G140" s="85"/>
      <c r="H140" s="85"/>
      <c r="I140" s="85"/>
      <c r="J140" s="86"/>
      <c r="K140" s="86"/>
      <c r="L140" s="51">
        <v>81111500</v>
      </c>
      <c r="M140" s="97" t="s">
        <v>113296</v>
      </c>
      <c r="N140" s="89">
        <v>45474</v>
      </c>
      <c r="O140" s="89" t="s">
        <v>112996</v>
      </c>
      <c r="P140" s="90" t="s">
        <v>113005</v>
      </c>
      <c r="Q140" s="90" t="s">
        <v>113051</v>
      </c>
      <c r="R140" s="295">
        <v>32000000</v>
      </c>
      <c r="S140" s="92"/>
      <c r="T140" s="88" t="s">
        <v>113002</v>
      </c>
      <c r="U140" s="303"/>
      <c r="V140" s="301"/>
      <c r="W140" s="301"/>
      <c r="X140" s="302">
        <f t="shared" si="5"/>
        <v>-32000000</v>
      </c>
    </row>
    <row r="141" spans="2:25" ht="30" x14ac:dyDescent="0.25">
      <c r="B141" s="84"/>
      <c r="C141" s="85"/>
      <c r="D141" s="85"/>
      <c r="E141" s="85"/>
      <c r="F141" s="85"/>
      <c r="G141" s="85"/>
      <c r="H141" s="85"/>
      <c r="I141" s="85"/>
      <c r="J141" s="86"/>
      <c r="K141" s="86" t="s">
        <v>106997</v>
      </c>
      <c r="L141" s="51">
        <v>80101600</v>
      </c>
      <c r="M141" s="97" t="s">
        <v>113294</v>
      </c>
      <c r="N141" s="89">
        <v>45458</v>
      </c>
      <c r="O141" s="89" t="s">
        <v>112996</v>
      </c>
      <c r="P141" s="90" t="s">
        <v>113001</v>
      </c>
      <c r="Q141" s="90" t="s">
        <v>113051</v>
      </c>
      <c r="R141" s="295">
        <v>42000000</v>
      </c>
      <c r="S141" s="92"/>
      <c r="T141" s="88" t="s">
        <v>113002</v>
      </c>
      <c r="U141" s="300">
        <v>58324</v>
      </c>
      <c r="V141" s="352">
        <v>42000000</v>
      </c>
      <c r="W141" s="301">
        <v>34200000</v>
      </c>
      <c r="X141" s="302">
        <f t="shared" si="5"/>
        <v>-7800000</v>
      </c>
      <c r="Y141" s="325"/>
    </row>
    <row r="142" spans="2:25" ht="30" x14ac:dyDescent="0.25">
      <c r="B142" s="84"/>
      <c r="C142" s="85"/>
      <c r="D142" s="85"/>
      <c r="E142" s="85"/>
      <c r="F142" s="85"/>
      <c r="G142" s="85"/>
      <c r="H142" s="85"/>
      <c r="I142" s="85"/>
      <c r="J142" s="86"/>
      <c r="K142" s="86"/>
      <c r="L142" s="51">
        <v>81111500</v>
      </c>
      <c r="M142" s="97" t="s">
        <v>113294</v>
      </c>
      <c r="N142" s="89">
        <v>45474</v>
      </c>
      <c r="O142" s="89" t="s">
        <v>112996</v>
      </c>
      <c r="P142" s="90" t="s">
        <v>113005</v>
      </c>
      <c r="Q142" s="90" t="s">
        <v>113051</v>
      </c>
      <c r="R142" s="295">
        <v>30000000</v>
      </c>
      <c r="S142" s="92"/>
      <c r="T142" s="88" t="s">
        <v>113002</v>
      </c>
      <c r="U142" s="303"/>
      <c r="V142" s="301"/>
      <c r="W142" s="301"/>
      <c r="X142" s="302">
        <f t="shared" si="5"/>
        <v>-30000000</v>
      </c>
    </row>
    <row r="143" spans="2:25" ht="30" x14ac:dyDescent="0.25">
      <c r="B143" s="84"/>
      <c r="C143" s="85"/>
      <c r="D143" s="85"/>
      <c r="E143" s="85"/>
      <c r="F143" s="85"/>
      <c r="G143" s="85"/>
      <c r="H143" s="85"/>
      <c r="I143" s="85"/>
      <c r="J143" s="86"/>
      <c r="K143" s="86" t="s">
        <v>106997</v>
      </c>
      <c r="L143" s="51">
        <v>81111500</v>
      </c>
      <c r="M143" s="97" t="s">
        <v>113086</v>
      </c>
      <c r="N143" s="89">
        <v>45300</v>
      </c>
      <c r="O143" s="89" t="s">
        <v>113035</v>
      </c>
      <c r="P143" s="90" t="s">
        <v>113009</v>
      </c>
      <c r="Q143" s="90" t="s">
        <v>113051</v>
      </c>
      <c r="R143" s="91">
        <f>62700000/2-2850000</f>
        <v>28500000</v>
      </c>
      <c r="S143" s="92"/>
      <c r="T143" s="88" t="s">
        <v>113002</v>
      </c>
      <c r="U143" s="300">
        <v>3724</v>
      </c>
      <c r="V143" s="301">
        <f>31350000-2850000</f>
        <v>28500000</v>
      </c>
      <c r="W143" s="301">
        <v>28500000</v>
      </c>
      <c r="X143" s="302">
        <f t="shared" si="5"/>
        <v>0</v>
      </c>
    </row>
    <row r="144" spans="2:25" ht="96.75" customHeight="1" x14ac:dyDescent="0.25">
      <c r="B144" s="84"/>
      <c r="C144" s="85"/>
      <c r="D144" s="85"/>
      <c r="E144" s="85"/>
      <c r="F144" s="85"/>
      <c r="G144" s="85"/>
      <c r="H144" s="85"/>
      <c r="I144" s="85"/>
      <c r="J144" s="86"/>
      <c r="K144" s="86" t="s">
        <v>106997</v>
      </c>
      <c r="L144" s="51">
        <v>81111500</v>
      </c>
      <c r="M144" s="97" t="s">
        <v>113348</v>
      </c>
      <c r="N144" s="89">
        <v>45475</v>
      </c>
      <c r="O144" s="89" t="s">
        <v>112996</v>
      </c>
      <c r="P144" s="90" t="s">
        <v>113315</v>
      </c>
      <c r="Q144" s="90" t="s">
        <v>113051</v>
      </c>
      <c r="R144" s="320">
        <f>32300000+2850000</f>
        <v>35150000</v>
      </c>
      <c r="S144" s="92"/>
      <c r="T144" s="88" t="s">
        <v>113002</v>
      </c>
      <c r="U144" s="300">
        <v>58324</v>
      </c>
      <c r="V144" s="352">
        <v>35150000</v>
      </c>
      <c r="W144" s="301"/>
      <c r="X144" s="302">
        <f t="shared" si="5"/>
        <v>-35150000</v>
      </c>
    </row>
    <row r="145" spans="2:25" ht="30" x14ac:dyDescent="0.25">
      <c r="B145" s="84"/>
      <c r="C145" s="85"/>
      <c r="D145" s="85"/>
      <c r="E145" s="85"/>
      <c r="F145" s="85"/>
      <c r="G145" s="85"/>
      <c r="H145" s="85"/>
      <c r="I145" s="85"/>
      <c r="J145" s="86"/>
      <c r="K145" s="86" t="s">
        <v>106997</v>
      </c>
      <c r="L145" s="51">
        <v>81112200</v>
      </c>
      <c r="M145" s="97" t="s">
        <v>113087</v>
      </c>
      <c r="N145" s="89">
        <v>45300</v>
      </c>
      <c r="O145" s="89" t="s">
        <v>113035</v>
      </c>
      <c r="P145" s="90" t="s">
        <v>113009</v>
      </c>
      <c r="Q145" s="90" t="s">
        <v>113051</v>
      </c>
      <c r="R145" s="91">
        <v>14000000</v>
      </c>
      <c r="S145" s="92"/>
      <c r="T145" s="88" t="s">
        <v>113002</v>
      </c>
      <c r="U145" s="300">
        <v>6524</v>
      </c>
      <c r="V145" s="301">
        <v>14000000</v>
      </c>
      <c r="W145" s="301">
        <v>12200305</v>
      </c>
      <c r="X145" s="302">
        <f t="shared" si="5"/>
        <v>-1799695</v>
      </c>
    </row>
    <row r="146" spans="2:25" ht="57.75" customHeight="1" x14ac:dyDescent="0.25">
      <c r="B146" s="84"/>
      <c r="C146" s="85"/>
      <c r="D146" s="85"/>
      <c r="E146" s="85"/>
      <c r="F146" s="85"/>
      <c r="G146" s="85"/>
      <c r="H146" s="85"/>
      <c r="I146" s="85"/>
      <c r="J146" s="86"/>
      <c r="K146" s="86" t="s">
        <v>106997</v>
      </c>
      <c r="L146" s="51">
        <v>81112200</v>
      </c>
      <c r="M146" s="97" t="s">
        <v>113353</v>
      </c>
      <c r="N146" s="89">
        <v>45460</v>
      </c>
      <c r="O146" s="89" t="s">
        <v>112996</v>
      </c>
      <c r="P146" s="90" t="s">
        <v>112997</v>
      </c>
      <c r="Q146" s="90" t="s">
        <v>113051</v>
      </c>
      <c r="R146" s="320">
        <f>92000000-24000000-9600000-30000000+113800000</f>
        <v>142200000</v>
      </c>
      <c r="S146" s="92"/>
      <c r="T146" s="88" t="s">
        <v>113002</v>
      </c>
      <c r="U146" s="300">
        <v>61824</v>
      </c>
      <c r="V146" s="301">
        <v>142200000</v>
      </c>
      <c r="W146" s="301"/>
      <c r="X146" s="302">
        <f t="shared" si="5"/>
        <v>-142200000</v>
      </c>
    </row>
    <row r="147" spans="2:25" ht="45" x14ac:dyDescent="0.25">
      <c r="B147" s="84"/>
      <c r="C147" s="85"/>
      <c r="D147" s="85"/>
      <c r="E147" s="85"/>
      <c r="F147" s="85"/>
      <c r="G147" s="85"/>
      <c r="H147" s="85"/>
      <c r="I147" s="85"/>
      <c r="J147" s="86"/>
      <c r="K147" s="86"/>
      <c r="L147" s="51">
        <v>84111503</v>
      </c>
      <c r="M147" s="97" t="s">
        <v>113299</v>
      </c>
      <c r="N147" s="89">
        <v>45474</v>
      </c>
      <c r="O147" s="89" t="s">
        <v>112996</v>
      </c>
      <c r="P147" s="90" t="s">
        <v>113137</v>
      </c>
      <c r="Q147" s="90" t="s">
        <v>113089</v>
      </c>
      <c r="R147" s="320">
        <v>200000000</v>
      </c>
      <c r="S147" s="321"/>
      <c r="T147" s="88" t="s">
        <v>113142</v>
      </c>
      <c r="U147" s="303"/>
      <c r="V147" s="301"/>
      <c r="W147" s="301"/>
      <c r="X147" s="302">
        <f t="shared" si="5"/>
        <v>-200000000</v>
      </c>
    </row>
    <row r="148" spans="2:25" ht="75" x14ac:dyDescent="0.25">
      <c r="B148" s="84"/>
      <c r="C148" s="85"/>
      <c r="D148" s="85"/>
      <c r="E148" s="85"/>
      <c r="F148" s="85"/>
      <c r="G148" s="85"/>
      <c r="H148" s="85"/>
      <c r="I148" s="85"/>
      <c r="J148" s="86"/>
      <c r="K148" s="86" t="s">
        <v>106997</v>
      </c>
      <c r="L148" s="87" t="s">
        <v>113300</v>
      </c>
      <c r="M148" s="97" t="s">
        <v>113088</v>
      </c>
      <c r="N148" s="89">
        <v>45308</v>
      </c>
      <c r="O148" s="89" t="s">
        <v>113004</v>
      </c>
      <c r="P148" s="90" t="s">
        <v>113001</v>
      </c>
      <c r="Q148" s="90" t="s">
        <v>113089</v>
      </c>
      <c r="R148" s="91">
        <f>290000000-30000000</f>
        <v>260000000</v>
      </c>
      <c r="S148" s="92"/>
      <c r="T148" s="88" t="s">
        <v>113002</v>
      </c>
      <c r="U148" s="300">
        <v>3824</v>
      </c>
      <c r="V148" s="301">
        <v>260000000</v>
      </c>
      <c r="W148" s="301">
        <v>259887670</v>
      </c>
      <c r="X148" s="302">
        <f t="shared" si="5"/>
        <v>-112330</v>
      </c>
    </row>
    <row r="149" spans="2:25" ht="30" x14ac:dyDescent="0.25">
      <c r="B149" s="124"/>
      <c r="C149" s="125"/>
      <c r="D149" s="125"/>
      <c r="E149" s="125"/>
      <c r="F149" s="125"/>
      <c r="G149" s="125"/>
      <c r="H149" s="125"/>
      <c r="I149" s="125"/>
      <c r="J149" s="126"/>
      <c r="K149" s="126" t="s">
        <v>106997</v>
      </c>
      <c r="L149" s="51">
        <v>81111800</v>
      </c>
      <c r="M149" s="88" t="s">
        <v>113245</v>
      </c>
      <c r="N149" s="89">
        <v>45308</v>
      </c>
      <c r="O149" s="89" t="s">
        <v>113035</v>
      </c>
      <c r="P149" s="90" t="s">
        <v>112997</v>
      </c>
      <c r="Q149" s="90" t="s">
        <v>113051</v>
      </c>
      <c r="R149" s="91">
        <f>65000000+30000000</f>
        <v>95000000</v>
      </c>
      <c r="S149" s="92"/>
      <c r="T149" s="88" t="s">
        <v>113002</v>
      </c>
      <c r="U149" s="300">
        <v>33324</v>
      </c>
      <c r="V149" s="301">
        <v>95000000</v>
      </c>
      <c r="W149" s="301">
        <v>94616060</v>
      </c>
      <c r="X149" s="302">
        <f t="shared" si="5"/>
        <v>-383940</v>
      </c>
    </row>
    <row r="150" spans="2:25" ht="120" x14ac:dyDescent="0.25">
      <c r="B150" s="124"/>
      <c r="C150" s="125"/>
      <c r="D150" s="125"/>
      <c r="E150" s="125"/>
      <c r="F150" s="125"/>
      <c r="G150" s="125"/>
      <c r="H150" s="125"/>
      <c r="I150" s="125"/>
      <c r="J150" s="126"/>
      <c r="K150" s="126" t="s">
        <v>106997</v>
      </c>
      <c r="L150" s="87" t="s">
        <v>113279</v>
      </c>
      <c r="M150" s="88" t="s">
        <v>113270</v>
      </c>
      <c r="N150" s="89">
        <v>45300</v>
      </c>
      <c r="O150" s="89" t="s">
        <v>113249</v>
      </c>
      <c r="P150" s="90" t="s">
        <v>113174</v>
      </c>
      <c r="Q150" s="90" t="s">
        <v>113051</v>
      </c>
      <c r="R150" s="91">
        <f>62700000/2</f>
        <v>31350000</v>
      </c>
      <c r="S150" s="92"/>
      <c r="T150" s="88" t="s">
        <v>113073</v>
      </c>
      <c r="U150" s="300">
        <v>4224</v>
      </c>
      <c r="V150" s="301">
        <v>31350000</v>
      </c>
      <c r="W150" s="301">
        <v>31350000</v>
      </c>
      <c r="X150" s="302">
        <f t="shared" si="5"/>
        <v>0</v>
      </c>
    </row>
    <row r="151" spans="2:25" ht="120" x14ac:dyDescent="0.25">
      <c r="B151" s="124"/>
      <c r="C151" s="125"/>
      <c r="D151" s="125"/>
      <c r="E151" s="125"/>
      <c r="F151" s="125"/>
      <c r="G151" s="125"/>
      <c r="H151" s="125"/>
      <c r="I151" s="125"/>
      <c r="J151" s="126"/>
      <c r="K151" s="126" t="s">
        <v>106997</v>
      </c>
      <c r="L151" s="87" t="s">
        <v>113279</v>
      </c>
      <c r="M151" s="88" t="s">
        <v>113270</v>
      </c>
      <c r="N151" s="89">
        <v>45475</v>
      </c>
      <c r="O151" s="89" t="s">
        <v>112996</v>
      </c>
      <c r="P151" s="90" t="s">
        <v>113137</v>
      </c>
      <c r="Q151" s="90" t="s">
        <v>113051</v>
      </c>
      <c r="R151" s="320">
        <v>32300000</v>
      </c>
      <c r="S151" s="92"/>
      <c r="T151" s="88" t="s">
        <v>113073</v>
      </c>
      <c r="U151" s="300">
        <v>56124</v>
      </c>
      <c r="V151" s="353">
        <v>32300000</v>
      </c>
      <c r="W151" s="301">
        <v>32300000</v>
      </c>
      <c r="X151" s="302">
        <f t="shared" si="5"/>
        <v>0</v>
      </c>
    </row>
    <row r="152" spans="2:25" ht="135" x14ac:dyDescent="0.25">
      <c r="B152" s="124"/>
      <c r="C152" s="125"/>
      <c r="D152" s="125"/>
      <c r="E152" s="125"/>
      <c r="F152" s="125"/>
      <c r="G152" s="125"/>
      <c r="H152" s="125"/>
      <c r="I152" s="125"/>
      <c r="J152" s="126"/>
      <c r="K152" s="126" t="s">
        <v>106997</v>
      </c>
      <c r="L152" s="87" t="s">
        <v>113280</v>
      </c>
      <c r="M152" s="88" t="s">
        <v>113271</v>
      </c>
      <c r="N152" s="89">
        <v>45300</v>
      </c>
      <c r="O152" s="89" t="s">
        <v>113249</v>
      </c>
      <c r="P152" s="90" t="s">
        <v>113174</v>
      </c>
      <c r="Q152" s="90" t="s">
        <v>113051</v>
      </c>
      <c r="R152" s="91">
        <f>62700000/2</f>
        <v>31350000</v>
      </c>
      <c r="S152" s="92"/>
      <c r="T152" s="88" t="s">
        <v>113073</v>
      </c>
      <c r="U152" s="300">
        <v>4324</v>
      </c>
      <c r="V152" s="301">
        <v>31350000</v>
      </c>
      <c r="W152" s="301">
        <v>31350000</v>
      </c>
      <c r="X152" s="302">
        <f t="shared" si="5"/>
        <v>0</v>
      </c>
    </row>
    <row r="153" spans="2:25" ht="135" x14ac:dyDescent="0.25">
      <c r="B153" s="124"/>
      <c r="C153" s="125"/>
      <c r="D153" s="125"/>
      <c r="E153" s="125"/>
      <c r="F153" s="125"/>
      <c r="G153" s="125"/>
      <c r="H153" s="125"/>
      <c r="I153" s="125"/>
      <c r="J153" s="126"/>
      <c r="K153" s="126" t="s">
        <v>106997</v>
      </c>
      <c r="L153" s="87" t="s">
        <v>113280</v>
      </c>
      <c r="M153" s="88" t="s">
        <v>113271</v>
      </c>
      <c r="N153" s="89">
        <v>45475</v>
      </c>
      <c r="O153" s="89" t="s">
        <v>112996</v>
      </c>
      <c r="P153" s="90" t="s">
        <v>113137</v>
      </c>
      <c r="Q153" s="90" t="s">
        <v>113051</v>
      </c>
      <c r="R153" s="320">
        <v>32300000</v>
      </c>
      <c r="S153" s="92"/>
      <c r="T153" s="88" t="s">
        <v>113073</v>
      </c>
      <c r="U153" s="300">
        <v>56124</v>
      </c>
      <c r="V153" s="353">
        <v>32300000</v>
      </c>
      <c r="W153" s="301">
        <v>32300000</v>
      </c>
      <c r="X153" s="302">
        <f t="shared" si="5"/>
        <v>0</v>
      </c>
    </row>
    <row r="154" spans="2:25" ht="135" x14ac:dyDescent="0.25">
      <c r="B154" s="124"/>
      <c r="C154" s="125"/>
      <c r="D154" s="125"/>
      <c r="E154" s="125"/>
      <c r="F154" s="125"/>
      <c r="G154" s="125"/>
      <c r="H154" s="125"/>
      <c r="I154" s="125"/>
      <c r="J154" s="126"/>
      <c r="K154" s="126" t="s">
        <v>106997</v>
      </c>
      <c r="L154" s="87" t="s">
        <v>113280</v>
      </c>
      <c r="M154" s="88" t="s">
        <v>113271</v>
      </c>
      <c r="N154" s="89">
        <v>45300</v>
      </c>
      <c r="O154" s="89" t="s">
        <v>113249</v>
      </c>
      <c r="P154" s="90" t="s">
        <v>113174</v>
      </c>
      <c r="Q154" s="90" t="s">
        <v>113051</v>
      </c>
      <c r="R154" s="91">
        <f>62700000/2</f>
        <v>31350000</v>
      </c>
      <c r="S154" s="92"/>
      <c r="T154" s="88" t="s">
        <v>113073</v>
      </c>
      <c r="U154" s="300">
        <v>4424</v>
      </c>
      <c r="V154" s="301">
        <v>31350000</v>
      </c>
      <c r="W154" s="301">
        <v>31350000</v>
      </c>
      <c r="X154" s="302">
        <f t="shared" si="5"/>
        <v>0</v>
      </c>
    </row>
    <row r="155" spans="2:25" ht="135" x14ac:dyDescent="0.25">
      <c r="B155" s="124"/>
      <c r="C155" s="125"/>
      <c r="D155" s="125"/>
      <c r="E155" s="125"/>
      <c r="F155" s="125"/>
      <c r="G155" s="125"/>
      <c r="H155" s="125"/>
      <c r="I155" s="125"/>
      <c r="J155" s="126"/>
      <c r="K155" s="126" t="s">
        <v>106997</v>
      </c>
      <c r="L155" s="87" t="s">
        <v>113280</v>
      </c>
      <c r="M155" s="88" t="s">
        <v>113271</v>
      </c>
      <c r="N155" s="89">
        <v>45475</v>
      </c>
      <c r="O155" s="89" t="s">
        <v>112996</v>
      </c>
      <c r="P155" s="90" t="s">
        <v>113137</v>
      </c>
      <c r="Q155" s="90" t="s">
        <v>113051</v>
      </c>
      <c r="R155" s="320">
        <v>32300000</v>
      </c>
      <c r="S155" s="92"/>
      <c r="T155" s="88" t="s">
        <v>113073</v>
      </c>
      <c r="U155" s="300">
        <v>56124</v>
      </c>
      <c r="V155" s="353">
        <v>32300000</v>
      </c>
      <c r="W155" s="301"/>
      <c r="X155" s="302">
        <f t="shared" si="5"/>
        <v>-32300000</v>
      </c>
    </row>
    <row r="156" spans="2:25" ht="120" x14ac:dyDescent="0.25">
      <c r="B156" s="124"/>
      <c r="C156" s="125"/>
      <c r="D156" s="125"/>
      <c r="E156" s="125"/>
      <c r="F156" s="125"/>
      <c r="G156" s="125"/>
      <c r="H156" s="125"/>
      <c r="I156" s="125"/>
      <c r="J156" s="126"/>
      <c r="K156" s="126" t="s">
        <v>106997</v>
      </c>
      <c r="L156" s="87" t="s">
        <v>113279</v>
      </c>
      <c r="M156" s="88" t="s">
        <v>113272</v>
      </c>
      <c r="N156" s="89">
        <v>45300</v>
      </c>
      <c r="O156" s="89" t="s">
        <v>113249</v>
      </c>
      <c r="P156" s="90" t="s">
        <v>113174</v>
      </c>
      <c r="Q156" s="90" t="s">
        <v>113051</v>
      </c>
      <c r="R156" s="91">
        <f>45100000/2</f>
        <v>22550000</v>
      </c>
      <c r="S156" s="92"/>
      <c r="T156" s="88" t="s">
        <v>113073</v>
      </c>
      <c r="U156" s="300">
        <v>4524</v>
      </c>
      <c r="V156" s="301">
        <v>22550000</v>
      </c>
      <c r="W156" s="301">
        <v>22550000</v>
      </c>
      <c r="X156" s="302">
        <f t="shared" si="5"/>
        <v>0</v>
      </c>
    </row>
    <row r="157" spans="2:25" ht="120" x14ac:dyDescent="0.25">
      <c r="B157" s="124"/>
      <c r="C157" s="125"/>
      <c r="D157" s="125"/>
      <c r="E157" s="125"/>
      <c r="F157" s="125"/>
      <c r="G157" s="125"/>
      <c r="H157" s="125"/>
      <c r="I157" s="125"/>
      <c r="J157" s="126"/>
      <c r="K157" s="126" t="s">
        <v>106997</v>
      </c>
      <c r="L157" s="87" t="s">
        <v>113279</v>
      </c>
      <c r="M157" s="88" t="s">
        <v>113272</v>
      </c>
      <c r="N157" s="89">
        <v>45475</v>
      </c>
      <c r="O157" s="89" t="s">
        <v>112996</v>
      </c>
      <c r="P157" s="90" t="s">
        <v>113314</v>
      </c>
      <c r="Q157" s="90" t="s">
        <v>113051</v>
      </c>
      <c r="R157" s="320">
        <v>23233334</v>
      </c>
      <c r="S157" s="92"/>
      <c r="T157" s="88" t="s">
        <v>113073</v>
      </c>
      <c r="U157" s="300">
        <v>56124</v>
      </c>
      <c r="V157" s="353">
        <v>23233333.329999998</v>
      </c>
      <c r="W157" s="301">
        <v>23233333.329999998</v>
      </c>
      <c r="X157" s="302">
        <f t="shared" si="5"/>
        <v>-0.67000000178813934</v>
      </c>
    </row>
    <row r="158" spans="2:25" ht="135" x14ac:dyDescent="0.25">
      <c r="B158" s="124"/>
      <c r="C158" s="125"/>
      <c r="D158" s="125"/>
      <c r="E158" s="125"/>
      <c r="F158" s="125"/>
      <c r="G158" s="125"/>
      <c r="H158" s="125"/>
      <c r="I158" s="125"/>
      <c r="J158" s="126"/>
      <c r="K158" s="126" t="s">
        <v>106997</v>
      </c>
      <c r="L158" s="87">
        <v>80101500</v>
      </c>
      <c r="M158" s="88" t="s">
        <v>113317</v>
      </c>
      <c r="N158" s="89">
        <v>45460</v>
      </c>
      <c r="O158" s="89" t="s">
        <v>113171</v>
      </c>
      <c r="P158" s="90" t="s">
        <v>113001</v>
      </c>
      <c r="Q158" s="90" t="s">
        <v>113051</v>
      </c>
      <c r="R158" s="295">
        <v>35340000</v>
      </c>
      <c r="S158" s="92"/>
      <c r="T158" s="88" t="s">
        <v>113073</v>
      </c>
      <c r="U158" s="300">
        <v>56124</v>
      </c>
      <c r="V158" s="353">
        <v>35340000</v>
      </c>
      <c r="W158" s="385">
        <v>35340000</v>
      </c>
      <c r="X158" s="302">
        <f t="shared" si="5"/>
        <v>0</v>
      </c>
      <c r="Y158" s="325"/>
    </row>
    <row r="159" spans="2:25" ht="120" x14ac:dyDescent="0.25">
      <c r="B159" s="124"/>
      <c r="C159" s="125"/>
      <c r="D159" s="125"/>
      <c r="E159" s="125"/>
      <c r="F159" s="125"/>
      <c r="G159" s="125"/>
      <c r="H159" s="125"/>
      <c r="I159" s="125"/>
      <c r="J159" s="126"/>
      <c r="K159" s="126" t="s">
        <v>106997</v>
      </c>
      <c r="L159" s="51">
        <v>80101500</v>
      </c>
      <c r="M159" s="88" t="s">
        <v>113316</v>
      </c>
      <c r="N159" s="89">
        <v>45460</v>
      </c>
      <c r="O159" s="89" t="s">
        <v>113171</v>
      </c>
      <c r="P159" s="90" t="s">
        <v>113001</v>
      </c>
      <c r="Q159" s="90" t="s">
        <v>113051</v>
      </c>
      <c r="R159" s="295">
        <v>34390000</v>
      </c>
      <c r="S159" s="92"/>
      <c r="T159" s="88" t="s">
        <v>113073</v>
      </c>
      <c r="U159" s="300">
        <v>56124</v>
      </c>
      <c r="V159" s="353">
        <v>34390000</v>
      </c>
      <c r="W159" s="301">
        <v>34390000</v>
      </c>
      <c r="X159" s="302">
        <f t="shared" si="5"/>
        <v>0</v>
      </c>
    </row>
    <row r="160" spans="2:25" ht="108" customHeight="1" x14ac:dyDescent="0.25">
      <c r="B160" s="124"/>
      <c r="C160" s="125"/>
      <c r="D160" s="125"/>
      <c r="E160" s="125"/>
      <c r="F160" s="125"/>
      <c r="G160" s="125"/>
      <c r="H160" s="125"/>
      <c r="I160" s="125"/>
      <c r="J160" s="126"/>
      <c r="K160" s="126" t="s">
        <v>106997</v>
      </c>
      <c r="L160" s="51">
        <v>80101500</v>
      </c>
      <c r="M160" s="88" t="s">
        <v>113078</v>
      </c>
      <c r="N160" s="89">
        <v>45300</v>
      </c>
      <c r="O160" s="89" t="s">
        <v>113168</v>
      </c>
      <c r="P160" s="90" t="s">
        <v>113009</v>
      </c>
      <c r="Q160" s="90" t="s">
        <v>113069</v>
      </c>
      <c r="R160" s="91">
        <f>45100000/2</f>
        <v>22550000</v>
      </c>
      <c r="S160" s="92"/>
      <c r="T160" s="88" t="s">
        <v>113079</v>
      </c>
      <c r="U160" s="300">
        <v>3224</v>
      </c>
      <c r="V160" s="301">
        <v>22550000</v>
      </c>
      <c r="W160" s="301">
        <v>22550000</v>
      </c>
      <c r="X160" s="302">
        <f t="shared" si="5"/>
        <v>0</v>
      </c>
    </row>
    <row r="161" spans="2:24" ht="108" customHeight="1" x14ac:dyDescent="0.25">
      <c r="B161" s="124"/>
      <c r="C161" s="125"/>
      <c r="D161" s="125"/>
      <c r="E161" s="125"/>
      <c r="F161" s="125"/>
      <c r="G161" s="125"/>
      <c r="H161" s="125"/>
      <c r="I161" s="125"/>
      <c r="J161" s="126"/>
      <c r="K161" s="126" t="s">
        <v>106997</v>
      </c>
      <c r="L161" s="51">
        <v>80101500</v>
      </c>
      <c r="M161" s="88" t="s">
        <v>113345</v>
      </c>
      <c r="N161" s="89">
        <v>45475</v>
      </c>
      <c r="O161" s="89" t="s">
        <v>113318</v>
      </c>
      <c r="P161" s="90" t="s">
        <v>113314</v>
      </c>
      <c r="Q161" s="90" t="s">
        <v>113069</v>
      </c>
      <c r="R161" s="320">
        <v>34200000</v>
      </c>
      <c r="S161" s="92"/>
      <c r="T161" s="88" t="s">
        <v>113079</v>
      </c>
      <c r="U161" s="303"/>
      <c r="V161" s="301"/>
      <c r="W161" s="301"/>
      <c r="X161" s="302">
        <f t="shared" si="5"/>
        <v>-34200000</v>
      </c>
    </row>
    <row r="162" spans="2:24" ht="30" x14ac:dyDescent="0.25">
      <c r="B162" s="124"/>
      <c r="C162" s="125"/>
      <c r="D162" s="125"/>
      <c r="E162" s="125"/>
      <c r="F162" s="125"/>
      <c r="G162" s="125"/>
      <c r="H162" s="125"/>
      <c r="I162" s="125"/>
      <c r="J162" s="126"/>
      <c r="K162" s="126"/>
      <c r="L162" s="297">
        <v>80101500</v>
      </c>
      <c r="M162" s="120" t="s">
        <v>113269</v>
      </c>
      <c r="N162" s="89">
        <v>45108</v>
      </c>
      <c r="O162" s="89" t="s">
        <v>112996</v>
      </c>
      <c r="P162" s="90" t="s">
        <v>112997</v>
      </c>
      <c r="Q162" s="90" t="s">
        <v>113050</v>
      </c>
      <c r="R162" s="295">
        <v>15000000</v>
      </c>
      <c r="S162" s="92"/>
      <c r="T162" s="88" t="s">
        <v>113017</v>
      </c>
      <c r="U162" s="303"/>
      <c r="V162" s="301"/>
      <c r="W162" s="301"/>
      <c r="X162" s="302">
        <f t="shared" si="5"/>
        <v>-15000000</v>
      </c>
    </row>
    <row r="163" spans="2:24" ht="90" x14ac:dyDescent="0.25">
      <c r="B163" s="124"/>
      <c r="C163" s="125"/>
      <c r="D163" s="125"/>
      <c r="E163" s="125"/>
      <c r="F163" s="125"/>
      <c r="G163" s="125"/>
      <c r="H163" s="125"/>
      <c r="I163" s="125"/>
      <c r="J163" s="126"/>
      <c r="K163" s="126"/>
      <c r="L163" s="184">
        <v>80101500</v>
      </c>
      <c r="M163" s="120" t="s">
        <v>113293</v>
      </c>
      <c r="N163" s="89">
        <v>45422</v>
      </c>
      <c r="O163" s="89" t="s">
        <v>113084</v>
      </c>
      <c r="P163" s="90" t="s">
        <v>113038</v>
      </c>
      <c r="Q163" s="90" t="s">
        <v>113051</v>
      </c>
      <c r="R163" s="91">
        <v>24000000</v>
      </c>
      <c r="S163" s="92"/>
      <c r="T163" s="88" t="s">
        <v>113079</v>
      </c>
      <c r="U163" s="300">
        <v>49224</v>
      </c>
      <c r="V163" s="301">
        <v>19500000</v>
      </c>
      <c r="W163" s="301">
        <v>19500000</v>
      </c>
      <c r="X163" s="302">
        <f t="shared" si="5"/>
        <v>-4500000</v>
      </c>
    </row>
    <row r="164" spans="2:24" ht="60" x14ac:dyDescent="0.25">
      <c r="B164" s="124"/>
      <c r="C164" s="125"/>
      <c r="D164" s="125"/>
      <c r="E164" s="125"/>
      <c r="F164" s="125"/>
      <c r="G164" s="125"/>
      <c r="H164" s="125"/>
      <c r="I164" s="125"/>
      <c r="J164" s="126"/>
      <c r="K164" s="126"/>
      <c r="L164" s="184">
        <v>80101500</v>
      </c>
      <c r="M164" s="120" t="s">
        <v>113292</v>
      </c>
      <c r="N164" s="89"/>
      <c r="O164" s="89" t="s">
        <v>113084</v>
      </c>
      <c r="P164" s="90" t="s">
        <v>112997</v>
      </c>
      <c r="Q164" s="90" t="s">
        <v>113051</v>
      </c>
      <c r="R164" s="91">
        <v>9600000</v>
      </c>
      <c r="S164" s="92"/>
      <c r="T164" s="88" t="s">
        <v>113092</v>
      </c>
      <c r="U164" s="300">
        <v>50924</v>
      </c>
      <c r="V164" s="301">
        <v>9600000</v>
      </c>
      <c r="W164" s="301">
        <v>9600000</v>
      </c>
      <c r="X164" s="302">
        <f t="shared" si="5"/>
        <v>0</v>
      </c>
    </row>
    <row r="165" spans="2:24" ht="26.25" customHeight="1" x14ac:dyDescent="0.25">
      <c r="B165" s="76" t="s">
        <v>105516</v>
      </c>
      <c r="C165" s="76" t="s">
        <v>105573</v>
      </c>
      <c r="D165" s="76" t="s">
        <v>105573</v>
      </c>
      <c r="E165" s="76" t="s">
        <v>105573</v>
      </c>
      <c r="F165" s="76" t="s">
        <v>105553</v>
      </c>
      <c r="G165" s="76" t="s">
        <v>105538</v>
      </c>
      <c r="H165" s="76" t="s">
        <v>105520</v>
      </c>
      <c r="I165" s="76" t="s">
        <v>105579</v>
      </c>
      <c r="J165" s="76"/>
      <c r="K165" s="76"/>
      <c r="L165" s="76"/>
      <c r="M165" s="78" t="s">
        <v>113333</v>
      </c>
      <c r="N165" s="79"/>
      <c r="O165" s="79"/>
      <c r="P165" s="80"/>
      <c r="Q165" s="105"/>
      <c r="R165" s="81">
        <f>SUM(R166)</f>
        <v>10000000</v>
      </c>
      <c r="S165" s="82"/>
      <c r="T165" s="96"/>
      <c r="U165" s="79"/>
      <c r="V165" s="363"/>
      <c r="W165" s="80"/>
      <c r="X165" s="80"/>
    </row>
    <row r="166" spans="2:24" ht="30" x14ac:dyDescent="0.25">
      <c r="B166" s="84"/>
      <c r="C166" s="85"/>
      <c r="D166" s="85"/>
      <c r="E166" s="85"/>
      <c r="F166" s="85"/>
      <c r="G166" s="85"/>
      <c r="H166" s="85"/>
      <c r="I166" s="85"/>
      <c r="J166" s="86"/>
      <c r="K166" s="86" t="s">
        <v>106997</v>
      </c>
      <c r="L166" s="51">
        <v>80101500</v>
      </c>
      <c r="M166" s="97" t="s">
        <v>113080</v>
      </c>
      <c r="N166" s="89">
        <v>45565</v>
      </c>
      <c r="O166" s="89" t="s">
        <v>113068</v>
      </c>
      <c r="P166" s="90" t="s">
        <v>112997</v>
      </c>
      <c r="Q166" s="90" t="s">
        <v>113069</v>
      </c>
      <c r="R166" s="295">
        <v>10000000</v>
      </c>
      <c r="S166" s="92"/>
      <c r="T166" s="93" t="s">
        <v>113010</v>
      </c>
      <c r="U166" s="300">
        <v>59424</v>
      </c>
      <c r="V166" s="301">
        <v>10000000</v>
      </c>
      <c r="W166" s="301"/>
      <c r="X166" s="302">
        <f>W166-R166</f>
        <v>-10000000</v>
      </c>
    </row>
    <row r="167" spans="2:24" ht="30" x14ac:dyDescent="0.25">
      <c r="B167" s="76" t="s">
        <v>105516</v>
      </c>
      <c r="C167" s="76" t="s">
        <v>105573</v>
      </c>
      <c r="D167" s="76" t="s">
        <v>105573</v>
      </c>
      <c r="E167" s="76" t="s">
        <v>105573</v>
      </c>
      <c r="F167" s="76" t="s">
        <v>105553</v>
      </c>
      <c r="G167" s="76" t="s">
        <v>105538</v>
      </c>
      <c r="H167" s="76" t="s">
        <v>105520</v>
      </c>
      <c r="I167" s="76" t="s">
        <v>106211</v>
      </c>
      <c r="J167" s="76"/>
      <c r="K167" s="76"/>
      <c r="L167" s="76"/>
      <c r="M167" s="78" t="s">
        <v>113334</v>
      </c>
      <c r="N167" s="79"/>
      <c r="O167" s="79"/>
      <c r="P167" s="80"/>
      <c r="Q167" s="80"/>
      <c r="R167" s="81">
        <f>SUM(R168:R175)</f>
        <v>102395666</v>
      </c>
      <c r="S167" s="82"/>
      <c r="T167" s="96"/>
      <c r="U167" s="79"/>
      <c r="V167" s="363"/>
      <c r="W167" s="80"/>
      <c r="X167" s="80"/>
    </row>
    <row r="168" spans="2:24" ht="30" x14ac:dyDescent="0.25">
      <c r="B168" s="84"/>
      <c r="C168" s="85"/>
      <c r="D168" s="85"/>
      <c r="E168" s="85"/>
      <c r="F168" s="85"/>
      <c r="G168" s="85"/>
      <c r="H168" s="85"/>
      <c r="I168" s="85"/>
      <c r="J168" s="86"/>
      <c r="K168" s="86" t="s">
        <v>106997</v>
      </c>
      <c r="L168" s="87">
        <v>80101500</v>
      </c>
      <c r="M168" s="88" t="s">
        <v>113178</v>
      </c>
      <c r="N168" s="89">
        <v>45300</v>
      </c>
      <c r="O168" s="89" t="s">
        <v>113035</v>
      </c>
      <c r="P168" s="90" t="s">
        <v>113277</v>
      </c>
      <c r="Q168" s="90" t="s">
        <v>113051</v>
      </c>
      <c r="R168" s="91">
        <f>8200000-600000+1786666</f>
        <v>9386666</v>
      </c>
      <c r="S168" s="92"/>
      <c r="T168" s="93" t="s">
        <v>113052</v>
      </c>
      <c r="U168" s="303"/>
      <c r="V168" s="301"/>
      <c r="W168" s="301"/>
      <c r="X168" s="302">
        <f t="shared" ref="X168:X175" si="6">W168-R168</f>
        <v>-9386666</v>
      </c>
    </row>
    <row r="169" spans="2:24" ht="30" x14ac:dyDescent="0.25">
      <c r="B169" s="84"/>
      <c r="C169" s="85"/>
      <c r="D169" s="85"/>
      <c r="E169" s="85"/>
      <c r="F169" s="85"/>
      <c r="G169" s="85"/>
      <c r="H169" s="85"/>
      <c r="I169" s="85"/>
      <c r="J169" s="86"/>
      <c r="K169" s="86" t="s">
        <v>106997</v>
      </c>
      <c r="L169" s="87">
        <v>80111600</v>
      </c>
      <c r="M169" s="88" t="s">
        <v>113178</v>
      </c>
      <c r="N169" s="89">
        <v>45300</v>
      </c>
      <c r="O169" s="89" t="s">
        <v>113058</v>
      </c>
      <c r="P169" s="90" t="s">
        <v>113009</v>
      </c>
      <c r="Q169" s="90" t="s">
        <v>113051</v>
      </c>
      <c r="R169" s="91">
        <v>28600000</v>
      </c>
      <c r="S169" s="92"/>
      <c r="T169" s="93" t="s">
        <v>113052</v>
      </c>
      <c r="U169" s="300">
        <v>6024</v>
      </c>
      <c r="V169" s="301">
        <v>28600000</v>
      </c>
      <c r="W169" s="301">
        <v>27646666.670000002</v>
      </c>
      <c r="X169" s="302">
        <f t="shared" si="6"/>
        <v>-953333.32999999821</v>
      </c>
    </row>
    <row r="170" spans="2:24" ht="30" x14ac:dyDescent="0.25">
      <c r="B170" s="84"/>
      <c r="C170" s="85"/>
      <c r="D170" s="85"/>
      <c r="E170" s="85"/>
      <c r="F170" s="85"/>
      <c r="G170" s="85"/>
      <c r="H170" s="85"/>
      <c r="I170" s="85"/>
      <c r="J170" s="86"/>
      <c r="K170" s="86" t="s">
        <v>106997</v>
      </c>
      <c r="L170" s="87">
        <v>80111600</v>
      </c>
      <c r="M170" s="88" t="s">
        <v>113178</v>
      </c>
      <c r="N170" s="89">
        <v>45300</v>
      </c>
      <c r="O170" s="89" t="s">
        <v>113058</v>
      </c>
      <c r="P170" s="90" t="s">
        <v>113003</v>
      </c>
      <c r="Q170" s="90" t="s">
        <v>113051</v>
      </c>
      <c r="R170" s="320">
        <f>24409000+2600000</f>
        <v>27009000</v>
      </c>
      <c r="S170" s="92"/>
      <c r="T170" s="93" t="s">
        <v>113052</v>
      </c>
      <c r="U170" s="300">
        <v>6124</v>
      </c>
      <c r="V170" s="301">
        <v>24409000</v>
      </c>
      <c r="W170" s="301">
        <v>23400000</v>
      </c>
      <c r="X170" s="302">
        <f t="shared" si="6"/>
        <v>-3609000</v>
      </c>
    </row>
    <row r="171" spans="2:24" ht="30" x14ac:dyDescent="0.25">
      <c r="B171" s="84"/>
      <c r="C171" s="85"/>
      <c r="D171" s="85"/>
      <c r="E171" s="85"/>
      <c r="F171" s="85"/>
      <c r="G171" s="85"/>
      <c r="H171" s="85"/>
      <c r="I171" s="85"/>
      <c r="J171" s="86"/>
      <c r="K171" s="86" t="s">
        <v>106997</v>
      </c>
      <c r="L171" s="87">
        <v>80111600</v>
      </c>
      <c r="M171" s="88" t="s">
        <v>113178</v>
      </c>
      <c r="N171" s="89">
        <v>45300</v>
      </c>
      <c r="O171" s="89" t="s">
        <v>113058</v>
      </c>
      <c r="P171" s="90"/>
      <c r="Q171" s="90" t="s">
        <v>113051</v>
      </c>
      <c r="R171" s="91">
        <v>0</v>
      </c>
      <c r="S171" s="92"/>
      <c r="T171" s="93" t="s">
        <v>113052</v>
      </c>
      <c r="U171" s="303"/>
      <c r="V171" s="301"/>
      <c r="W171" s="301"/>
      <c r="X171" s="302">
        <f t="shared" si="6"/>
        <v>0</v>
      </c>
    </row>
    <row r="172" spans="2:24" ht="30" x14ac:dyDescent="0.25">
      <c r="B172" s="84"/>
      <c r="C172" s="85"/>
      <c r="D172" s="85"/>
      <c r="E172" s="85"/>
      <c r="F172" s="85"/>
      <c r="G172" s="85"/>
      <c r="H172" s="85"/>
      <c r="I172" s="85"/>
      <c r="J172" s="86"/>
      <c r="K172" s="86" t="s">
        <v>106997</v>
      </c>
      <c r="L172" s="87">
        <v>80111600</v>
      </c>
      <c r="M172" s="88" t="s">
        <v>113178</v>
      </c>
      <c r="N172" s="89">
        <v>45300</v>
      </c>
      <c r="O172" s="89" t="s">
        <v>113058</v>
      </c>
      <c r="P172" s="90" t="s">
        <v>113174</v>
      </c>
      <c r="Q172" s="90" t="s">
        <v>113051</v>
      </c>
      <c r="R172" s="91">
        <f>11900000</f>
        <v>11900000</v>
      </c>
      <c r="S172" s="92"/>
      <c r="T172" s="93" t="s">
        <v>113052</v>
      </c>
      <c r="U172" s="300">
        <v>6224</v>
      </c>
      <c r="V172" s="301">
        <v>11900000</v>
      </c>
      <c r="W172" s="301">
        <v>11900000</v>
      </c>
      <c r="X172" s="302">
        <f t="shared" si="6"/>
        <v>0</v>
      </c>
    </row>
    <row r="173" spans="2:24" ht="30" x14ac:dyDescent="0.25">
      <c r="B173" s="84"/>
      <c r="C173" s="85"/>
      <c r="D173" s="85"/>
      <c r="E173" s="85"/>
      <c r="F173" s="85"/>
      <c r="G173" s="85"/>
      <c r="H173" s="85"/>
      <c r="I173" s="85"/>
      <c r="J173" s="86"/>
      <c r="K173" s="86" t="s">
        <v>106997</v>
      </c>
      <c r="L173" s="87">
        <v>80111600</v>
      </c>
      <c r="M173" s="88" t="s">
        <v>113178</v>
      </c>
      <c r="N173" s="89">
        <v>45505</v>
      </c>
      <c r="O173" s="89" t="s">
        <v>113008</v>
      </c>
      <c r="P173" s="90" t="s">
        <v>113005</v>
      </c>
      <c r="Q173" s="90" t="s">
        <v>113051</v>
      </c>
      <c r="R173" s="320">
        <v>6800000</v>
      </c>
      <c r="S173" s="92"/>
      <c r="T173" s="93" t="s">
        <v>113052</v>
      </c>
      <c r="U173" s="303"/>
      <c r="V173" s="301"/>
      <c r="W173" s="301"/>
      <c r="X173" s="302">
        <f t="shared" si="6"/>
        <v>-6800000</v>
      </c>
    </row>
    <row r="174" spans="2:24" ht="30" x14ac:dyDescent="0.25">
      <c r="B174" s="84"/>
      <c r="C174" s="85"/>
      <c r="D174" s="85"/>
      <c r="E174" s="85"/>
      <c r="F174" s="85"/>
      <c r="G174" s="85"/>
      <c r="H174" s="85"/>
      <c r="I174" s="85"/>
      <c r="J174" s="86"/>
      <c r="K174" s="86" t="s">
        <v>106997</v>
      </c>
      <c r="L174" s="87">
        <v>80111600</v>
      </c>
      <c r="M174" s="97" t="s">
        <v>113178</v>
      </c>
      <c r="N174" s="89">
        <v>45300</v>
      </c>
      <c r="O174" s="89" t="s">
        <v>113058</v>
      </c>
      <c r="P174" s="90" t="s">
        <v>113174</v>
      </c>
      <c r="Q174" s="90" t="s">
        <v>113051</v>
      </c>
      <c r="R174" s="91">
        <f>11900000</f>
        <v>11900000</v>
      </c>
      <c r="S174" s="92"/>
      <c r="T174" s="93" t="s">
        <v>113052</v>
      </c>
      <c r="U174" s="300">
        <v>6324</v>
      </c>
      <c r="V174" s="301">
        <v>11900000</v>
      </c>
      <c r="W174" s="301">
        <v>11900000</v>
      </c>
      <c r="X174" s="302">
        <f t="shared" si="6"/>
        <v>0</v>
      </c>
    </row>
    <row r="175" spans="2:24" ht="30" x14ac:dyDescent="0.25">
      <c r="B175" s="84"/>
      <c r="C175" s="85"/>
      <c r="D175" s="85"/>
      <c r="E175" s="85"/>
      <c r="F175" s="85"/>
      <c r="G175" s="85"/>
      <c r="H175" s="85"/>
      <c r="I175" s="85"/>
      <c r="J175" s="86"/>
      <c r="K175" s="86" t="s">
        <v>106997</v>
      </c>
      <c r="L175" s="87">
        <v>80111600</v>
      </c>
      <c r="M175" s="88" t="s">
        <v>113178</v>
      </c>
      <c r="N175" s="89">
        <v>45505</v>
      </c>
      <c r="O175" s="89" t="s">
        <v>113008</v>
      </c>
      <c r="P175" s="90" t="s">
        <v>113005</v>
      </c>
      <c r="Q175" s="90" t="s">
        <v>113051</v>
      </c>
      <c r="R175" s="320">
        <v>6800000</v>
      </c>
      <c r="S175" s="92"/>
      <c r="T175" s="93" t="s">
        <v>113052</v>
      </c>
      <c r="U175" s="303"/>
      <c r="V175" s="301"/>
      <c r="W175" s="301"/>
      <c r="X175" s="302">
        <f t="shared" si="6"/>
        <v>-6800000</v>
      </c>
    </row>
    <row r="176" spans="2:24" ht="30" x14ac:dyDescent="0.25">
      <c r="B176" s="338" t="s">
        <v>105516</v>
      </c>
      <c r="C176" s="338" t="s">
        <v>105573</v>
      </c>
      <c r="D176" s="338" t="s">
        <v>105573</v>
      </c>
      <c r="E176" s="338" t="s">
        <v>105573</v>
      </c>
      <c r="F176" s="338" t="s">
        <v>105553</v>
      </c>
      <c r="G176" s="338" t="s">
        <v>105541</v>
      </c>
      <c r="H176" s="68"/>
      <c r="I176" s="68"/>
      <c r="J176" s="68"/>
      <c r="K176" s="69"/>
      <c r="L176" s="69"/>
      <c r="M176" s="70" t="s">
        <v>107040</v>
      </c>
      <c r="N176" s="71"/>
      <c r="O176" s="71"/>
      <c r="P176" s="72"/>
      <c r="Q176" s="72"/>
      <c r="R176" s="73">
        <f>+R177+R181</f>
        <v>42320000</v>
      </c>
      <c r="S176" s="74"/>
      <c r="T176" s="75"/>
      <c r="U176" s="71" t="s">
        <v>112994</v>
      </c>
      <c r="V176" s="362" t="s">
        <v>112994</v>
      </c>
      <c r="W176" s="72"/>
      <c r="X176" s="72"/>
    </row>
    <row r="177" spans="2:24" x14ac:dyDescent="0.25">
      <c r="B177" s="76" t="s">
        <v>105516</v>
      </c>
      <c r="C177" s="76" t="s">
        <v>105573</v>
      </c>
      <c r="D177" s="76" t="s">
        <v>105573</v>
      </c>
      <c r="E177" s="76" t="s">
        <v>105573</v>
      </c>
      <c r="F177" s="76" t="s">
        <v>105553</v>
      </c>
      <c r="G177" s="76" t="s">
        <v>105541</v>
      </c>
      <c r="H177" s="76" t="s">
        <v>105520</v>
      </c>
      <c r="I177" s="76"/>
      <c r="J177" s="76"/>
      <c r="K177" s="76"/>
      <c r="L177" s="76"/>
      <c r="M177" s="78" t="s">
        <v>107042</v>
      </c>
      <c r="N177" s="79"/>
      <c r="O177" s="79"/>
      <c r="P177" s="80"/>
      <c r="Q177" s="80"/>
      <c r="R177" s="81">
        <f>SUM(R178+R179+R180)</f>
        <v>33800000</v>
      </c>
      <c r="S177" s="82"/>
      <c r="T177" s="96"/>
      <c r="U177" s="354">
        <v>924</v>
      </c>
      <c r="V177" s="355">
        <v>25458891</v>
      </c>
      <c r="W177" s="355">
        <v>25458890.539999999</v>
      </c>
      <c r="X177" s="356">
        <f>W177-R177</f>
        <v>-8341109.4600000009</v>
      </c>
    </row>
    <row r="178" spans="2:24" x14ac:dyDescent="0.25">
      <c r="B178" s="84"/>
      <c r="C178" s="85"/>
      <c r="D178" s="85"/>
      <c r="E178" s="85"/>
      <c r="F178" s="85"/>
      <c r="G178" s="85"/>
      <c r="H178" s="85"/>
      <c r="I178" s="85"/>
      <c r="J178" s="86"/>
      <c r="K178" s="86" t="s">
        <v>107039</v>
      </c>
      <c r="L178" s="51"/>
      <c r="M178" s="88" t="s">
        <v>113093</v>
      </c>
      <c r="N178" s="89">
        <v>45293</v>
      </c>
      <c r="O178" s="89" t="s">
        <v>113058</v>
      </c>
      <c r="P178" s="121" t="s">
        <v>113066</v>
      </c>
      <c r="Q178" s="90" t="s">
        <v>113029</v>
      </c>
      <c r="R178" s="91">
        <v>15000000</v>
      </c>
      <c r="S178" s="119"/>
      <c r="T178" s="93" t="s">
        <v>113062</v>
      </c>
      <c r="U178" s="303"/>
      <c r="V178" s="301"/>
      <c r="W178" s="301"/>
      <c r="X178" s="302"/>
    </row>
    <row r="179" spans="2:24" x14ac:dyDescent="0.25">
      <c r="B179" s="84"/>
      <c r="C179" s="85"/>
      <c r="D179" s="85"/>
      <c r="E179" s="85"/>
      <c r="F179" s="85"/>
      <c r="G179" s="85"/>
      <c r="H179" s="85"/>
      <c r="I179" s="85"/>
      <c r="J179" s="86"/>
      <c r="K179" s="86" t="s">
        <v>107039</v>
      </c>
      <c r="L179" s="51"/>
      <c r="M179" s="97" t="s">
        <v>113094</v>
      </c>
      <c r="N179" s="89">
        <v>45293</v>
      </c>
      <c r="O179" s="89" t="s">
        <v>113058</v>
      </c>
      <c r="P179" s="121" t="s">
        <v>113066</v>
      </c>
      <c r="Q179" s="90" t="s">
        <v>113029</v>
      </c>
      <c r="R179" s="91">
        <v>16800000</v>
      </c>
      <c r="S179" s="92"/>
      <c r="T179" s="93" t="s">
        <v>113062</v>
      </c>
      <c r="U179" s="303"/>
      <c r="V179" s="301"/>
      <c r="W179" s="301"/>
      <c r="X179" s="302"/>
    </row>
    <row r="180" spans="2:24" x14ac:dyDescent="0.25">
      <c r="B180" s="84"/>
      <c r="C180" s="85"/>
      <c r="D180" s="85"/>
      <c r="E180" s="85"/>
      <c r="F180" s="85"/>
      <c r="G180" s="85"/>
      <c r="H180" s="85"/>
      <c r="I180" s="85"/>
      <c r="J180" s="86"/>
      <c r="K180" s="86" t="s">
        <v>107039</v>
      </c>
      <c r="L180" s="51"/>
      <c r="M180" s="97" t="s">
        <v>113095</v>
      </c>
      <c r="N180" s="89" t="s">
        <v>113029</v>
      </c>
      <c r="O180" s="89" t="s">
        <v>113029</v>
      </c>
      <c r="P180" s="90" t="s">
        <v>113029</v>
      </c>
      <c r="Q180" s="90" t="s">
        <v>113029</v>
      </c>
      <c r="R180" s="91">
        <v>2000000</v>
      </c>
      <c r="S180" s="119"/>
      <c r="T180" s="93" t="s">
        <v>113030</v>
      </c>
      <c r="U180" s="303"/>
      <c r="V180" s="301"/>
      <c r="W180" s="301"/>
      <c r="X180" s="302"/>
    </row>
    <row r="181" spans="2:24" x14ac:dyDescent="0.25">
      <c r="B181" s="76" t="s">
        <v>105516</v>
      </c>
      <c r="C181" s="76" t="s">
        <v>105573</v>
      </c>
      <c r="D181" s="76" t="s">
        <v>105573</v>
      </c>
      <c r="E181" s="76" t="s">
        <v>105573</v>
      </c>
      <c r="F181" s="76" t="s">
        <v>105553</v>
      </c>
      <c r="G181" s="76" t="s">
        <v>105541</v>
      </c>
      <c r="H181" s="76" t="s">
        <v>105573</v>
      </c>
      <c r="I181" s="76"/>
      <c r="J181" s="76"/>
      <c r="K181" s="76"/>
      <c r="L181" s="76"/>
      <c r="M181" s="78" t="s">
        <v>113335</v>
      </c>
      <c r="N181" s="79"/>
      <c r="O181" s="79"/>
      <c r="P181" s="80"/>
      <c r="Q181" s="80"/>
      <c r="R181" s="81">
        <f>SUM(R182+R183)</f>
        <v>8520000</v>
      </c>
      <c r="S181" s="82"/>
      <c r="T181" s="96"/>
      <c r="U181" s="354"/>
      <c r="V181" s="355"/>
      <c r="W181" s="355"/>
      <c r="X181" s="356"/>
    </row>
    <row r="182" spans="2:24" ht="45.75" customHeight="1" x14ac:dyDescent="0.25">
      <c r="B182" s="294"/>
      <c r="C182" s="86"/>
      <c r="D182" s="86"/>
      <c r="E182" s="86"/>
      <c r="F182" s="86"/>
      <c r="G182" s="86"/>
      <c r="H182" s="86"/>
      <c r="I182" s="86"/>
      <c r="J182" s="86"/>
      <c r="K182" s="86" t="s">
        <v>107039</v>
      </c>
      <c r="L182" s="51">
        <v>81112100</v>
      </c>
      <c r="M182" s="88" t="s">
        <v>113246</v>
      </c>
      <c r="N182" s="89">
        <v>45414</v>
      </c>
      <c r="O182" s="89" t="s">
        <v>113171</v>
      </c>
      <c r="P182" s="90" t="s">
        <v>113001</v>
      </c>
      <c r="Q182" s="90" t="s">
        <v>113039</v>
      </c>
      <c r="R182" s="91">
        <f>4200000+600000</f>
        <v>4800000</v>
      </c>
      <c r="S182" s="283">
        <v>5088000</v>
      </c>
      <c r="T182" s="93" t="s">
        <v>113002</v>
      </c>
      <c r="U182" s="300">
        <v>27624</v>
      </c>
      <c r="V182" s="301">
        <v>4800000</v>
      </c>
      <c r="W182" s="301"/>
      <c r="X182" s="302">
        <f>W182-R182</f>
        <v>-4800000</v>
      </c>
    </row>
    <row r="183" spans="2:24" ht="45" customHeight="1" x14ac:dyDescent="0.25">
      <c r="B183" s="294"/>
      <c r="C183" s="86"/>
      <c r="D183" s="86"/>
      <c r="E183" s="86"/>
      <c r="F183" s="86"/>
      <c r="G183" s="86"/>
      <c r="H183" s="86"/>
      <c r="I183" s="86"/>
      <c r="J183" s="86"/>
      <c r="K183" s="86" t="s">
        <v>107039</v>
      </c>
      <c r="L183" s="51">
        <v>81112100</v>
      </c>
      <c r="M183" s="97" t="s">
        <v>113096</v>
      </c>
      <c r="N183" s="89">
        <v>45422</v>
      </c>
      <c r="O183" s="89" t="s">
        <v>112996</v>
      </c>
      <c r="P183" s="121" t="s">
        <v>113066</v>
      </c>
      <c r="Q183" s="90" t="s">
        <v>113039</v>
      </c>
      <c r="R183" s="91">
        <v>3720000</v>
      </c>
      <c r="S183" s="91"/>
      <c r="T183" s="93" t="s">
        <v>113002</v>
      </c>
      <c r="U183" s="303"/>
      <c r="V183" s="301"/>
      <c r="W183" s="301"/>
      <c r="X183" s="302">
        <f>W183-R183</f>
        <v>-3720000</v>
      </c>
    </row>
    <row r="184" spans="2:24" x14ac:dyDescent="0.25">
      <c r="B184" s="338" t="s">
        <v>105516</v>
      </c>
      <c r="C184" s="338" t="s">
        <v>105573</v>
      </c>
      <c r="D184" s="338" t="s">
        <v>105573</v>
      </c>
      <c r="E184" s="338" t="s">
        <v>105573</v>
      </c>
      <c r="F184" s="338" t="s">
        <v>105553</v>
      </c>
      <c r="G184" s="339" t="s">
        <v>105544</v>
      </c>
      <c r="H184" s="68"/>
      <c r="I184" s="68"/>
      <c r="J184" s="68"/>
      <c r="K184" s="69"/>
      <c r="L184" s="69"/>
      <c r="M184" s="70" t="s">
        <v>107054</v>
      </c>
      <c r="N184" s="71"/>
      <c r="O184" s="71"/>
      <c r="P184" s="72"/>
      <c r="Q184" s="72"/>
      <c r="R184" s="73">
        <f>+R185</f>
        <v>10000000</v>
      </c>
      <c r="S184" s="74"/>
      <c r="T184" s="75"/>
      <c r="U184" s="71" t="s">
        <v>112994</v>
      </c>
      <c r="V184" s="362" t="s">
        <v>112994</v>
      </c>
      <c r="W184" s="72"/>
      <c r="X184" s="72"/>
    </row>
    <row r="185" spans="2:24" x14ac:dyDescent="0.25">
      <c r="B185" s="76" t="s">
        <v>105516</v>
      </c>
      <c r="C185" s="76" t="s">
        <v>105573</v>
      </c>
      <c r="D185" s="76" t="s">
        <v>105573</v>
      </c>
      <c r="E185" s="76" t="s">
        <v>105573</v>
      </c>
      <c r="F185" s="76" t="s">
        <v>105553</v>
      </c>
      <c r="G185" s="77" t="s">
        <v>105544</v>
      </c>
      <c r="H185" s="77" t="s">
        <v>106109</v>
      </c>
      <c r="I185" s="76"/>
      <c r="J185" s="76"/>
      <c r="K185" s="76"/>
      <c r="L185" s="76"/>
      <c r="M185" s="78" t="s">
        <v>107066</v>
      </c>
      <c r="N185" s="79"/>
      <c r="O185" s="79"/>
      <c r="P185" s="80"/>
      <c r="Q185" s="80"/>
      <c r="R185" s="81">
        <f>+R186</f>
        <v>10000000</v>
      </c>
      <c r="S185" s="82"/>
      <c r="T185" s="96"/>
      <c r="U185" s="79"/>
      <c r="V185" s="363"/>
      <c r="W185" s="80"/>
      <c r="X185" s="80"/>
    </row>
    <row r="186" spans="2:24" ht="19.5" customHeight="1" x14ac:dyDescent="0.25">
      <c r="B186" s="76" t="s">
        <v>105516</v>
      </c>
      <c r="C186" s="76" t="s">
        <v>105573</v>
      </c>
      <c r="D186" s="76" t="s">
        <v>105573</v>
      </c>
      <c r="E186" s="76" t="s">
        <v>105573</v>
      </c>
      <c r="F186" s="76" t="s">
        <v>105553</v>
      </c>
      <c r="G186" s="77" t="s">
        <v>105544</v>
      </c>
      <c r="H186" s="77" t="s">
        <v>106109</v>
      </c>
      <c r="I186" s="76">
        <v>3</v>
      </c>
      <c r="J186" s="76"/>
      <c r="K186" s="76"/>
      <c r="L186" s="76"/>
      <c r="M186" s="78" t="s">
        <v>107072</v>
      </c>
      <c r="N186" s="79"/>
      <c r="O186" s="79"/>
      <c r="P186" s="80"/>
      <c r="Q186" s="80"/>
      <c r="R186" s="81">
        <f>+R187</f>
        <v>10000000</v>
      </c>
      <c r="S186" s="82"/>
      <c r="T186" s="96"/>
      <c r="U186" s="79"/>
      <c r="V186" s="363"/>
      <c r="W186" s="80"/>
      <c r="X186" s="80"/>
    </row>
    <row r="187" spans="2:24" ht="30" x14ac:dyDescent="0.25">
      <c r="B187" s="84"/>
      <c r="C187" s="85"/>
      <c r="D187" s="85"/>
      <c r="E187" s="85"/>
      <c r="F187" s="85"/>
      <c r="G187" s="85"/>
      <c r="H187" s="85"/>
      <c r="I187" s="85"/>
      <c r="J187" s="86"/>
      <c r="K187" s="86" t="s">
        <v>107053</v>
      </c>
      <c r="L187" s="87" t="s">
        <v>113097</v>
      </c>
      <c r="M187" s="97" t="s">
        <v>113266</v>
      </c>
      <c r="N187" s="89">
        <v>45488</v>
      </c>
      <c r="O187" s="89" t="s">
        <v>113008</v>
      </c>
      <c r="P187" s="90" t="s">
        <v>113169</v>
      </c>
      <c r="Q187" s="90" t="s">
        <v>113098</v>
      </c>
      <c r="R187" s="295">
        <v>10000000</v>
      </c>
      <c r="S187" s="119"/>
      <c r="T187" s="93" t="s">
        <v>113027</v>
      </c>
      <c r="U187" s="303"/>
      <c r="V187" s="301"/>
      <c r="W187" s="301"/>
      <c r="X187" s="302">
        <f>W187-R187</f>
        <v>-10000000</v>
      </c>
    </row>
    <row r="188" spans="2:24" ht="39.75" customHeight="1" x14ac:dyDescent="0.25">
      <c r="B188" s="338" t="s">
        <v>105516</v>
      </c>
      <c r="C188" s="338" t="s">
        <v>105573</v>
      </c>
      <c r="D188" s="338" t="s">
        <v>105573</v>
      </c>
      <c r="E188" s="338" t="s">
        <v>105573</v>
      </c>
      <c r="F188" s="338" t="s">
        <v>105553</v>
      </c>
      <c r="G188" s="338" t="s">
        <v>105550</v>
      </c>
      <c r="H188" s="68"/>
      <c r="I188" s="68"/>
      <c r="J188" s="68"/>
      <c r="K188" s="69"/>
      <c r="L188" s="69"/>
      <c r="M188" s="70" t="s">
        <v>107092</v>
      </c>
      <c r="N188" s="71"/>
      <c r="O188" s="71"/>
      <c r="P188" s="72"/>
      <c r="Q188" s="72"/>
      <c r="R188" s="73">
        <f>+R189</f>
        <v>203912000</v>
      </c>
      <c r="S188" s="74"/>
      <c r="T188" s="75"/>
      <c r="U188" s="71" t="s">
        <v>112994</v>
      </c>
      <c r="V188" s="362" t="s">
        <v>112994</v>
      </c>
      <c r="W188" s="72"/>
      <c r="X188" s="72"/>
    </row>
    <row r="189" spans="2:24" ht="30" x14ac:dyDescent="0.25">
      <c r="B189" s="76" t="s">
        <v>105516</v>
      </c>
      <c r="C189" s="76" t="s">
        <v>105573</v>
      </c>
      <c r="D189" s="76" t="s">
        <v>105573</v>
      </c>
      <c r="E189" s="76" t="s">
        <v>105573</v>
      </c>
      <c r="F189" s="76" t="s">
        <v>105553</v>
      </c>
      <c r="G189" s="76" t="s">
        <v>105550</v>
      </c>
      <c r="H189" s="76" t="s">
        <v>105520</v>
      </c>
      <c r="I189" s="76"/>
      <c r="J189" s="76"/>
      <c r="K189" s="76"/>
      <c r="L189" s="76"/>
      <c r="M189" s="78" t="s">
        <v>107094</v>
      </c>
      <c r="N189" s="79"/>
      <c r="O189" s="79"/>
      <c r="P189" s="80"/>
      <c r="Q189" s="80"/>
      <c r="R189" s="81">
        <f>+R190+R192+R196</f>
        <v>203912000</v>
      </c>
      <c r="S189" s="82"/>
      <c r="T189" s="96"/>
      <c r="U189" s="79"/>
      <c r="V189" s="363"/>
      <c r="W189" s="80"/>
      <c r="X189" s="80"/>
    </row>
    <row r="190" spans="2:24" ht="30" x14ac:dyDescent="0.25">
      <c r="B190" s="76" t="s">
        <v>105516</v>
      </c>
      <c r="C190" s="76" t="s">
        <v>105573</v>
      </c>
      <c r="D190" s="76" t="s">
        <v>105573</v>
      </c>
      <c r="E190" s="76" t="s">
        <v>105573</v>
      </c>
      <c r="F190" s="76" t="s">
        <v>105553</v>
      </c>
      <c r="G190" s="76" t="s">
        <v>105550</v>
      </c>
      <c r="H190" s="76" t="s">
        <v>105520</v>
      </c>
      <c r="I190" s="76" t="s">
        <v>106211</v>
      </c>
      <c r="J190" s="76"/>
      <c r="K190" s="76"/>
      <c r="L190" s="76"/>
      <c r="M190" s="78" t="s">
        <v>113336</v>
      </c>
      <c r="N190" s="79"/>
      <c r="O190" s="79"/>
      <c r="P190" s="80"/>
      <c r="Q190" s="80"/>
      <c r="R190" s="81">
        <f>+R191</f>
        <v>80000000</v>
      </c>
      <c r="S190" s="82"/>
      <c r="T190" s="96"/>
      <c r="U190" s="79"/>
      <c r="V190" s="363"/>
      <c r="W190" s="80"/>
      <c r="X190" s="80"/>
    </row>
    <row r="191" spans="2:24" ht="60" x14ac:dyDescent="0.25">
      <c r="B191" s="84"/>
      <c r="C191" s="85"/>
      <c r="D191" s="85"/>
      <c r="E191" s="85"/>
      <c r="F191" s="85"/>
      <c r="G191" s="85"/>
      <c r="H191" s="85"/>
      <c r="I191" s="85"/>
      <c r="J191" s="86"/>
      <c r="K191" s="86" t="s">
        <v>107091</v>
      </c>
      <c r="L191" s="87" t="s">
        <v>113099</v>
      </c>
      <c r="M191" s="88" t="s">
        <v>113100</v>
      </c>
      <c r="N191" s="89">
        <v>45474</v>
      </c>
      <c r="O191" s="89" t="s">
        <v>112996</v>
      </c>
      <c r="P191" s="90" t="s">
        <v>113137</v>
      </c>
      <c r="Q191" s="90" t="s">
        <v>113091</v>
      </c>
      <c r="R191" s="295">
        <v>80000000</v>
      </c>
      <c r="S191" s="92"/>
      <c r="T191" s="93" t="s">
        <v>113002</v>
      </c>
      <c r="U191" s="300">
        <v>58424</v>
      </c>
      <c r="V191" s="301">
        <v>80000000</v>
      </c>
      <c r="W191" s="301"/>
      <c r="X191" s="302">
        <f>W191-R191</f>
        <v>-80000000</v>
      </c>
    </row>
    <row r="192" spans="2:24" ht="30" x14ac:dyDescent="0.25">
      <c r="B192" s="76" t="s">
        <v>105516</v>
      </c>
      <c r="C192" s="76" t="s">
        <v>105573</v>
      </c>
      <c r="D192" s="76" t="s">
        <v>105573</v>
      </c>
      <c r="E192" s="76" t="s">
        <v>105573</v>
      </c>
      <c r="F192" s="76" t="s">
        <v>105553</v>
      </c>
      <c r="G192" s="76" t="s">
        <v>105550</v>
      </c>
      <c r="H192" s="76" t="s">
        <v>105520</v>
      </c>
      <c r="I192" s="76" t="s">
        <v>106214</v>
      </c>
      <c r="J192" s="76"/>
      <c r="K192" s="76"/>
      <c r="L192" s="76"/>
      <c r="M192" s="78" t="s">
        <v>107102</v>
      </c>
      <c r="N192" s="79"/>
      <c r="O192" s="79"/>
      <c r="P192" s="80"/>
      <c r="Q192" s="80"/>
      <c r="R192" s="81">
        <f>SUM(R193:R195)</f>
        <v>83000000</v>
      </c>
      <c r="S192" s="82"/>
      <c r="T192" s="96"/>
      <c r="U192" s="79"/>
      <c r="V192" s="363"/>
      <c r="W192" s="80"/>
      <c r="X192" s="80"/>
    </row>
    <row r="193" spans="2:24" ht="85.5" customHeight="1" x14ac:dyDescent="0.25">
      <c r="B193" s="84"/>
      <c r="C193" s="85"/>
      <c r="D193" s="85"/>
      <c r="E193" s="85"/>
      <c r="F193" s="85"/>
      <c r="G193" s="85"/>
      <c r="H193" s="85"/>
      <c r="I193" s="85"/>
      <c r="J193" s="86"/>
      <c r="K193" s="86" t="s">
        <v>107091</v>
      </c>
      <c r="L193" s="87" t="s">
        <v>113184</v>
      </c>
      <c r="M193" s="88" t="s">
        <v>113101</v>
      </c>
      <c r="N193" s="89">
        <v>45313</v>
      </c>
      <c r="O193" s="89" t="s">
        <v>113035</v>
      </c>
      <c r="P193" s="90" t="s">
        <v>113009</v>
      </c>
      <c r="Q193" s="90" t="s">
        <v>113091</v>
      </c>
      <c r="R193" s="91">
        <v>50000000</v>
      </c>
      <c r="S193" s="92"/>
      <c r="T193" s="93" t="s">
        <v>113033</v>
      </c>
      <c r="U193" s="300">
        <v>8224</v>
      </c>
      <c r="V193" s="301">
        <v>50000000</v>
      </c>
      <c r="W193" s="301">
        <v>50000000</v>
      </c>
      <c r="X193" s="302">
        <f t="shared" ref="X193:X195" si="7">W193-R193</f>
        <v>0</v>
      </c>
    </row>
    <row r="194" spans="2:24" ht="63.75" customHeight="1" x14ac:dyDescent="0.25">
      <c r="B194" s="84"/>
      <c r="C194" s="85"/>
      <c r="D194" s="85"/>
      <c r="E194" s="85"/>
      <c r="F194" s="85"/>
      <c r="G194" s="85"/>
      <c r="H194" s="85"/>
      <c r="I194" s="85"/>
      <c r="J194" s="86"/>
      <c r="K194" s="86"/>
      <c r="L194" s="87" t="s">
        <v>113122</v>
      </c>
      <c r="M194" s="88" t="s">
        <v>113218</v>
      </c>
      <c r="N194" s="89"/>
      <c r="O194" s="89"/>
      <c r="P194" s="90"/>
      <c r="Q194" s="90"/>
      <c r="R194" s="91">
        <v>16500000</v>
      </c>
      <c r="S194" s="92"/>
      <c r="T194" s="93" t="s">
        <v>112999</v>
      </c>
      <c r="U194" s="300">
        <v>1024</v>
      </c>
      <c r="V194" s="301">
        <v>16080000</v>
      </c>
      <c r="W194" s="301">
        <v>16080000</v>
      </c>
      <c r="X194" s="302">
        <f t="shared" si="7"/>
        <v>-420000</v>
      </c>
    </row>
    <row r="195" spans="2:24" ht="60" x14ac:dyDescent="0.25">
      <c r="B195" s="84"/>
      <c r="C195" s="85"/>
      <c r="D195" s="85"/>
      <c r="E195" s="85"/>
      <c r="F195" s="85"/>
      <c r="G195" s="85"/>
      <c r="H195" s="85"/>
      <c r="I195" s="85"/>
      <c r="J195" s="86"/>
      <c r="K195" s="86"/>
      <c r="L195" s="87" t="s">
        <v>113122</v>
      </c>
      <c r="M195" s="88" t="s">
        <v>113219</v>
      </c>
      <c r="N195" s="89">
        <v>45397</v>
      </c>
      <c r="O195" s="89" t="s">
        <v>113084</v>
      </c>
      <c r="P195" s="90" t="s">
        <v>113170</v>
      </c>
      <c r="Q195" s="90" t="s">
        <v>113067</v>
      </c>
      <c r="R195" s="91">
        <v>16500000</v>
      </c>
      <c r="S195" s="283">
        <v>17520000</v>
      </c>
      <c r="T195" s="93" t="s">
        <v>112999</v>
      </c>
      <c r="U195" s="300">
        <v>27624</v>
      </c>
      <c r="V195" s="301">
        <v>16500000</v>
      </c>
      <c r="W195" s="301"/>
      <c r="X195" s="302">
        <f t="shared" si="7"/>
        <v>-16500000</v>
      </c>
    </row>
    <row r="196" spans="2:24" ht="30" x14ac:dyDescent="0.25">
      <c r="B196" s="76" t="s">
        <v>105516</v>
      </c>
      <c r="C196" s="76" t="s">
        <v>105573</v>
      </c>
      <c r="D196" s="76" t="s">
        <v>105573</v>
      </c>
      <c r="E196" s="76" t="s">
        <v>105573</v>
      </c>
      <c r="F196" s="76" t="s">
        <v>105553</v>
      </c>
      <c r="G196" s="76" t="s">
        <v>105550</v>
      </c>
      <c r="H196" s="76" t="s">
        <v>105520</v>
      </c>
      <c r="I196" s="76" t="s">
        <v>106217</v>
      </c>
      <c r="J196" s="76"/>
      <c r="K196" s="76"/>
      <c r="L196" s="76"/>
      <c r="M196" s="78" t="s">
        <v>107104</v>
      </c>
      <c r="N196" s="79"/>
      <c r="O196" s="79"/>
      <c r="P196" s="80"/>
      <c r="Q196" s="80"/>
      <c r="R196" s="81">
        <f>SUM(R197:R200)</f>
        <v>40912000</v>
      </c>
      <c r="S196" s="82"/>
      <c r="T196" s="96"/>
      <c r="U196" s="79"/>
      <c r="V196" s="363"/>
      <c r="W196" s="80"/>
      <c r="X196" s="80"/>
    </row>
    <row r="197" spans="2:24" ht="75" x14ac:dyDescent="0.25">
      <c r="B197" s="84"/>
      <c r="C197" s="85"/>
      <c r="D197" s="85"/>
      <c r="E197" s="85"/>
      <c r="F197" s="85"/>
      <c r="G197" s="85"/>
      <c r="H197" s="85"/>
      <c r="I197" s="85"/>
      <c r="J197" s="86"/>
      <c r="K197" s="86" t="s">
        <v>107091</v>
      </c>
      <c r="L197" s="87">
        <v>72154100</v>
      </c>
      <c r="M197" s="88" t="s">
        <v>113251</v>
      </c>
      <c r="N197" s="89"/>
      <c r="O197" s="89"/>
      <c r="P197" s="90"/>
      <c r="Q197" s="89"/>
      <c r="R197" s="91">
        <v>10956000</v>
      </c>
      <c r="S197" s="92"/>
      <c r="T197" s="93" t="s">
        <v>112999</v>
      </c>
      <c r="U197" s="300">
        <v>724</v>
      </c>
      <c r="V197" s="301">
        <v>10680000</v>
      </c>
      <c r="W197" s="301">
        <v>10680000</v>
      </c>
      <c r="X197" s="302">
        <f t="shared" ref="X197:X200" si="8">W197-R197</f>
        <v>-276000</v>
      </c>
    </row>
    <row r="198" spans="2:24" ht="63" customHeight="1" x14ac:dyDescent="0.25">
      <c r="B198" s="124"/>
      <c r="C198" s="125"/>
      <c r="D198" s="125"/>
      <c r="E198" s="125"/>
      <c r="F198" s="125"/>
      <c r="G198" s="125"/>
      <c r="H198" s="125"/>
      <c r="I198" s="125"/>
      <c r="J198" s="126"/>
      <c r="K198" s="86" t="s">
        <v>107091</v>
      </c>
      <c r="L198" s="87" t="s">
        <v>113103</v>
      </c>
      <c r="M198" s="88" t="s">
        <v>113104</v>
      </c>
      <c r="N198" s="89">
        <v>45474</v>
      </c>
      <c r="O198" s="89" t="s">
        <v>112996</v>
      </c>
      <c r="P198" s="121" t="s">
        <v>113005</v>
      </c>
      <c r="Q198" s="89" t="s">
        <v>113050</v>
      </c>
      <c r="R198" s="295">
        <v>7000000</v>
      </c>
      <c r="S198" s="128"/>
      <c r="T198" s="93" t="s">
        <v>112999</v>
      </c>
      <c r="U198" s="303"/>
      <c r="V198" s="301"/>
      <c r="W198" s="301"/>
      <c r="X198" s="302">
        <f t="shared" si="8"/>
        <v>-7000000</v>
      </c>
    </row>
    <row r="199" spans="2:24" ht="75" x14ac:dyDescent="0.25">
      <c r="B199" s="124"/>
      <c r="C199" s="125"/>
      <c r="D199" s="125"/>
      <c r="E199" s="125"/>
      <c r="F199" s="125"/>
      <c r="G199" s="125"/>
      <c r="H199" s="125"/>
      <c r="I199" s="125"/>
      <c r="J199" s="126"/>
      <c r="K199" s="126" t="s">
        <v>107091</v>
      </c>
      <c r="L199" s="87">
        <v>72154100</v>
      </c>
      <c r="M199" s="88" t="s">
        <v>113102</v>
      </c>
      <c r="N199" s="89">
        <v>45397</v>
      </c>
      <c r="O199" s="89" t="s">
        <v>113084</v>
      </c>
      <c r="P199" s="90" t="s">
        <v>113170</v>
      </c>
      <c r="Q199" s="90" t="s">
        <v>113067</v>
      </c>
      <c r="R199" s="91">
        <v>10956000</v>
      </c>
      <c r="S199" s="283">
        <v>11640000</v>
      </c>
      <c r="T199" s="93" t="s">
        <v>112999</v>
      </c>
      <c r="U199" s="300">
        <v>27624</v>
      </c>
      <c r="V199" s="301">
        <v>10956000</v>
      </c>
      <c r="W199" s="301">
        <v>4800000</v>
      </c>
      <c r="X199" s="302">
        <f t="shared" si="8"/>
        <v>-6156000</v>
      </c>
    </row>
    <row r="200" spans="2:24" ht="30" customHeight="1" x14ac:dyDescent="0.25">
      <c r="B200" s="124"/>
      <c r="C200" s="125"/>
      <c r="D200" s="125"/>
      <c r="E200" s="125"/>
      <c r="F200" s="125"/>
      <c r="G200" s="125"/>
      <c r="H200" s="125"/>
      <c r="I200" s="125"/>
      <c r="J200" s="126"/>
      <c r="K200" s="126" t="s">
        <v>107091</v>
      </c>
      <c r="L200" s="117"/>
      <c r="M200" s="113" t="s">
        <v>113106</v>
      </c>
      <c r="N200" s="114" t="s">
        <v>113029</v>
      </c>
      <c r="O200" s="114" t="s">
        <v>113029</v>
      </c>
      <c r="P200" s="114" t="s">
        <v>113029</v>
      </c>
      <c r="Q200" s="114" t="s">
        <v>113029</v>
      </c>
      <c r="R200" s="91">
        <v>12000000</v>
      </c>
      <c r="S200" s="94"/>
      <c r="T200" s="93" t="s">
        <v>113030</v>
      </c>
      <c r="U200" s="304" t="s">
        <v>113355</v>
      </c>
      <c r="V200" s="301">
        <f>6513551+1411066</f>
        <v>7924617</v>
      </c>
      <c r="W200" s="301">
        <f>6513551+1411066</f>
        <v>7924617</v>
      </c>
      <c r="X200" s="302">
        <f t="shared" si="8"/>
        <v>-4075383</v>
      </c>
    </row>
    <row r="201" spans="2:24" ht="30.75" customHeight="1" x14ac:dyDescent="0.25">
      <c r="B201" s="59" t="s">
        <v>105516</v>
      </c>
      <c r="C201" s="59" t="s">
        <v>105573</v>
      </c>
      <c r="D201" s="59" t="s">
        <v>105573</v>
      </c>
      <c r="E201" s="59" t="s">
        <v>105573</v>
      </c>
      <c r="F201" s="59" t="s">
        <v>105556</v>
      </c>
      <c r="G201" s="59"/>
      <c r="H201" s="59"/>
      <c r="I201" s="59"/>
      <c r="J201" s="59"/>
      <c r="K201" s="60"/>
      <c r="L201" s="61"/>
      <c r="M201" s="62" t="s">
        <v>107164</v>
      </c>
      <c r="N201" s="63"/>
      <c r="O201" s="63"/>
      <c r="P201" s="64"/>
      <c r="Q201" s="64"/>
      <c r="R201" s="65">
        <f>+R202+R206+R209+R213</f>
        <v>426000000</v>
      </c>
      <c r="S201" s="66"/>
      <c r="T201" s="67"/>
      <c r="U201" s="63" t="s">
        <v>112994</v>
      </c>
      <c r="V201" s="361" t="s">
        <v>112994</v>
      </c>
      <c r="W201" s="64"/>
      <c r="X201" s="64"/>
    </row>
    <row r="202" spans="2:24" ht="22.5" customHeight="1" x14ac:dyDescent="0.25">
      <c r="B202" s="338" t="s">
        <v>105516</v>
      </c>
      <c r="C202" s="338" t="s">
        <v>105573</v>
      </c>
      <c r="D202" s="338" t="s">
        <v>105573</v>
      </c>
      <c r="E202" s="338" t="s">
        <v>105573</v>
      </c>
      <c r="F202" s="338" t="s">
        <v>105556</v>
      </c>
      <c r="G202" s="338" t="s">
        <v>105535</v>
      </c>
      <c r="H202" s="68"/>
      <c r="I202" s="68"/>
      <c r="J202" s="68"/>
      <c r="K202" s="69"/>
      <c r="L202" s="69"/>
      <c r="M202" s="70" t="s">
        <v>107166</v>
      </c>
      <c r="N202" s="71"/>
      <c r="O202" s="71"/>
      <c r="P202" s="72"/>
      <c r="Q202" s="72"/>
      <c r="R202" s="73">
        <f>+R203</f>
        <v>90000000</v>
      </c>
      <c r="S202" s="74"/>
      <c r="T202" s="75"/>
      <c r="U202" s="71" t="s">
        <v>112994</v>
      </c>
      <c r="V202" s="362" t="s">
        <v>112994</v>
      </c>
      <c r="W202" s="72"/>
      <c r="X202" s="72"/>
    </row>
    <row r="203" spans="2:24" x14ac:dyDescent="0.25">
      <c r="B203" s="76" t="s">
        <v>105516</v>
      </c>
      <c r="C203" s="76" t="s">
        <v>105573</v>
      </c>
      <c r="D203" s="76" t="s">
        <v>105573</v>
      </c>
      <c r="E203" s="76" t="s">
        <v>105573</v>
      </c>
      <c r="F203" s="76" t="s">
        <v>105556</v>
      </c>
      <c r="G203" s="76" t="s">
        <v>105535</v>
      </c>
      <c r="H203" s="76" t="s">
        <v>106109</v>
      </c>
      <c r="I203" s="76"/>
      <c r="J203" s="76"/>
      <c r="K203" s="76"/>
      <c r="L203" s="76"/>
      <c r="M203" s="78" t="s">
        <v>107178</v>
      </c>
      <c r="N203" s="79"/>
      <c r="O203" s="79"/>
      <c r="P203" s="80"/>
      <c r="Q203" s="80"/>
      <c r="R203" s="81">
        <f>SUM(R204+R205)</f>
        <v>90000000</v>
      </c>
      <c r="S203" s="82"/>
      <c r="T203" s="96"/>
      <c r="U203" s="79"/>
      <c r="V203" s="363"/>
      <c r="W203" s="80"/>
      <c r="X203" s="80"/>
    </row>
    <row r="204" spans="2:24" ht="30" x14ac:dyDescent="0.25">
      <c r="B204" s="84"/>
      <c r="C204" s="85"/>
      <c r="D204" s="85"/>
      <c r="E204" s="85"/>
      <c r="F204" s="85"/>
      <c r="G204" s="85"/>
      <c r="H204" s="85"/>
      <c r="I204" s="85"/>
      <c r="J204" s="86"/>
      <c r="K204" s="86" t="s">
        <v>107165</v>
      </c>
      <c r="L204" s="87" t="s">
        <v>113107</v>
      </c>
      <c r="M204" s="88" t="s">
        <v>113291</v>
      </c>
      <c r="N204" s="89">
        <v>45347</v>
      </c>
      <c r="O204" s="89" t="s">
        <v>113000</v>
      </c>
      <c r="P204" s="90" t="s">
        <v>113003</v>
      </c>
      <c r="Q204" s="90" t="s">
        <v>113051</v>
      </c>
      <c r="R204" s="91">
        <v>50000000</v>
      </c>
      <c r="S204" s="92"/>
      <c r="T204" s="93" t="s">
        <v>113010</v>
      </c>
      <c r="U204" s="300">
        <v>28924</v>
      </c>
      <c r="V204" s="301">
        <v>50000000</v>
      </c>
      <c r="W204" s="301">
        <v>25000000</v>
      </c>
      <c r="X204" s="302">
        <f>W204-R204</f>
        <v>-25000000</v>
      </c>
    </row>
    <row r="205" spans="2:24" ht="30" x14ac:dyDescent="0.25">
      <c r="B205" s="84"/>
      <c r="C205" s="85"/>
      <c r="D205" s="85"/>
      <c r="E205" s="85"/>
      <c r="F205" s="85"/>
      <c r="G205" s="85"/>
      <c r="H205" s="85"/>
      <c r="I205" s="85"/>
      <c r="J205" s="86"/>
      <c r="K205" s="86" t="s">
        <v>107165</v>
      </c>
      <c r="L205" s="51"/>
      <c r="M205" s="88" t="s">
        <v>113108</v>
      </c>
      <c r="N205" s="89">
        <v>45321</v>
      </c>
      <c r="O205" s="90" t="s">
        <v>113029</v>
      </c>
      <c r="P205" s="90" t="s">
        <v>113029</v>
      </c>
      <c r="Q205" s="90" t="s">
        <v>113029</v>
      </c>
      <c r="R205" s="320">
        <f>20000000+20000000</f>
        <v>40000000</v>
      </c>
      <c r="S205" s="92"/>
      <c r="T205" s="93" t="s">
        <v>113010</v>
      </c>
      <c r="U205" s="300">
        <v>15024</v>
      </c>
      <c r="V205" s="301">
        <v>9750000</v>
      </c>
      <c r="W205" s="301">
        <v>9750000</v>
      </c>
      <c r="X205" s="302">
        <f>W205-R205</f>
        <v>-30250000</v>
      </c>
    </row>
    <row r="206" spans="2:24" ht="30" x14ac:dyDescent="0.25">
      <c r="B206" s="338" t="s">
        <v>105516</v>
      </c>
      <c r="C206" s="338" t="s">
        <v>105573</v>
      </c>
      <c r="D206" s="338" t="s">
        <v>105573</v>
      </c>
      <c r="E206" s="338" t="s">
        <v>105573</v>
      </c>
      <c r="F206" s="338" t="s">
        <v>105556</v>
      </c>
      <c r="G206" s="338" t="s">
        <v>105538</v>
      </c>
      <c r="H206" s="68"/>
      <c r="I206" s="68"/>
      <c r="J206" s="68"/>
      <c r="K206" s="69"/>
      <c r="L206" s="69"/>
      <c r="M206" s="70" t="s">
        <v>107180</v>
      </c>
      <c r="N206" s="71"/>
      <c r="O206" s="71"/>
      <c r="P206" s="72"/>
      <c r="Q206" s="72"/>
      <c r="R206" s="73">
        <f>+R207</f>
        <v>35000000</v>
      </c>
      <c r="S206" s="74"/>
      <c r="T206" s="75"/>
      <c r="U206" s="71" t="s">
        <v>112994</v>
      </c>
      <c r="V206" s="362" t="s">
        <v>112994</v>
      </c>
      <c r="W206" s="72"/>
      <c r="X206" s="72"/>
    </row>
    <row r="207" spans="2:24" x14ac:dyDescent="0.25">
      <c r="B207" s="76" t="s">
        <v>105516</v>
      </c>
      <c r="C207" s="76" t="s">
        <v>105573</v>
      </c>
      <c r="D207" s="76" t="s">
        <v>105573</v>
      </c>
      <c r="E207" s="76" t="s">
        <v>105573</v>
      </c>
      <c r="F207" s="76" t="s">
        <v>105556</v>
      </c>
      <c r="G207" s="76" t="s">
        <v>105538</v>
      </c>
      <c r="H207" s="76" t="s">
        <v>105520</v>
      </c>
      <c r="I207" s="76"/>
      <c r="J207" s="76"/>
      <c r="K207" s="76"/>
      <c r="L207" s="76"/>
      <c r="M207" s="78" t="s">
        <v>107182</v>
      </c>
      <c r="N207" s="79"/>
      <c r="O207" s="79"/>
      <c r="P207" s="80"/>
      <c r="Q207" s="80"/>
      <c r="R207" s="81">
        <f>+R208</f>
        <v>35000000</v>
      </c>
      <c r="S207" s="82"/>
      <c r="T207" s="96"/>
      <c r="U207" s="79"/>
      <c r="V207" s="363"/>
      <c r="W207" s="80"/>
      <c r="X207" s="80"/>
    </row>
    <row r="208" spans="2:24" ht="44.25" customHeight="1" x14ac:dyDescent="0.25">
      <c r="B208" s="84"/>
      <c r="C208" s="85"/>
      <c r="D208" s="85"/>
      <c r="E208" s="85"/>
      <c r="F208" s="85"/>
      <c r="G208" s="85"/>
      <c r="H208" s="85"/>
      <c r="I208" s="85"/>
      <c r="J208" s="86"/>
      <c r="K208" s="86" t="s">
        <v>107179</v>
      </c>
      <c r="L208" s="87" t="s">
        <v>113210</v>
      </c>
      <c r="M208" s="88" t="s">
        <v>113109</v>
      </c>
      <c r="N208" s="89">
        <v>45337</v>
      </c>
      <c r="O208" s="89" t="s">
        <v>113035</v>
      </c>
      <c r="P208" s="90" t="s">
        <v>113003</v>
      </c>
      <c r="Q208" s="121" t="s">
        <v>113105</v>
      </c>
      <c r="R208" s="91">
        <v>35000000</v>
      </c>
      <c r="S208" s="92"/>
      <c r="T208" s="93" t="s">
        <v>113017</v>
      </c>
      <c r="U208" s="300">
        <v>9024</v>
      </c>
      <c r="V208" s="301">
        <v>35000000</v>
      </c>
      <c r="W208" s="301">
        <v>25286000</v>
      </c>
      <c r="X208" s="302">
        <f>W208-R208</f>
        <v>-9714000</v>
      </c>
    </row>
    <row r="209" spans="2:24" ht="45" x14ac:dyDescent="0.25">
      <c r="B209" s="338" t="s">
        <v>105516</v>
      </c>
      <c r="C209" s="338" t="s">
        <v>105573</v>
      </c>
      <c r="D209" s="338" t="s">
        <v>105573</v>
      </c>
      <c r="E209" s="338" t="s">
        <v>105573</v>
      </c>
      <c r="F209" s="338" t="s">
        <v>105556</v>
      </c>
      <c r="G209" s="338" t="s">
        <v>105541</v>
      </c>
      <c r="H209" s="68"/>
      <c r="I209" s="68"/>
      <c r="J209" s="68"/>
      <c r="K209" s="69"/>
      <c r="L209" s="69"/>
      <c r="M209" s="70" t="s">
        <v>107192</v>
      </c>
      <c r="N209" s="71"/>
      <c r="O209" s="71"/>
      <c r="P209" s="72"/>
      <c r="Q209" s="72"/>
      <c r="R209" s="73">
        <f>+R210</f>
        <v>251000000</v>
      </c>
      <c r="S209" s="74"/>
      <c r="T209" s="75"/>
      <c r="U209" s="71" t="s">
        <v>112994</v>
      </c>
      <c r="V209" s="362" t="s">
        <v>112994</v>
      </c>
      <c r="W209" s="72"/>
      <c r="X209" s="72"/>
    </row>
    <row r="210" spans="2:24" ht="36.75" customHeight="1" x14ac:dyDescent="0.25">
      <c r="B210" s="76" t="s">
        <v>105516</v>
      </c>
      <c r="C210" s="76" t="s">
        <v>105573</v>
      </c>
      <c r="D210" s="76" t="s">
        <v>105573</v>
      </c>
      <c r="E210" s="76" t="s">
        <v>105573</v>
      </c>
      <c r="F210" s="76" t="s">
        <v>105556</v>
      </c>
      <c r="G210" s="76" t="s">
        <v>105541</v>
      </c>
      <c r="H210" s="76" t="s">
        <v>105520</v>
      </c>
      <c r="I210" s="76"/>
      <c r="J210" s="76"/>
      <c r="K210" s="76"/>
      <c r="L210" s="76"/>
      <c r="M210" s="78" t="s">
        <v>107194</v>
      </c>
      <c r="N210" s="104"/>
      <c r="O210" s="104"/>
      <c r="P210" s="80"/>
      <c r="Q210" s="80"/>
      <c r="R210" s="106">
        <f>SUM(R211+R212)</f>
        <v>251000000</v>
      </c>
      <c r="S210" s="107"/>
      <c r="T210" s="96"/>
      <c r="U210" s="79"/>
      <c r="V210" s="363"/>
      <c r="W210" s="80"/>
      <c r="X210" s="80"/>
    </row>
    <row r="211" spans="2:24" x14ac:dyDescent="0.25">
      <c r="B211" s="84"/>
      <c r="C211" s="85"/>
      <c r="D211" s="85"/>
      <c r="E211" s="85"/>
      <c r="F211" s="85"/>
      <c r="G211" s="85"/>
      <c r="H211" s="85"/>
      <c r="I211" s="85"/>
      <c r="J211" s="86"/>
      <c r="K211" s="86" t="s">
        <v>107191</v>
      </c>
      <c r="L211" s="87"/>
      <c r="M211" s="97" t="s">
        <v>113112</v>
      </c>
      <c r="N211" s="89">
        <v>45293</v>
      </c>
      <c r="O211" s="89" t="s">
        <v>113058</v>
      </c>
      <c r="P211" s="90" t="s">
        <v>113066</v>
      </c>
      <c r="Q211" s="90"/>
      <c r="R211" s="91">
        <v>231000000</v>
      </c>
      <c r="S211" s="119"/>
      <c r="T211" s="88" t="s">
        <v>113062</v>
      </c>
      <c r="U211" s="300">
        <v>1624</v>
      </c>
      <c r="V211" s="301">
        <f>73895500+3448866</f>
        <v>77344366</v>
      </c>
      <c r="W211" s="301">
        <f>73890307+3448866</f>
        <v>77339173</v>
      </c>
      <c r="X211" s="302">
        <f>W211-R211</f>
        <v>-153660827</v>
      </c>
    </row>
    <row r="212" spans="2:24" ht="45" x14ac:dyDescent="0.25">
      <c r="B212" s="84"/>
      <c r="C212" s="85"/>
      <c r="D212" s="85"/>
      <c r="E212" s="85"/>
      <c r="F212" s="85"/>
      <c r="G212" s="85"/>
      <c r="H212" s="85"/>
      <c r="I212" s="85"/>
      <c r="J212" s="86"/>
      <c r="K212" s="86" t="s">
        <v>107191</v>
      </c>
      <c r="L212" s="87" t="s">
        <v>113110</v>
      </c>
      <c r="M212" s="97" t="s">
        <v>113111</v>
      </c>
      <c r="N212" s="89">
        <v>45350</v>
      </c>
      <c r="O212" s="89" t="s">
        <v>113035</v>
      </c>
      <c r="P212" s="121" t="s">
        <v>113003</v>
      </c>
      <c r="Q212" s="90" t="s">
        <v>113050</v>
      </c>
      <c r="R212" s="91">
        <v>20000000</v>
      </c>
      <c r="S212" s="119"/>
      <c r="T212" s="88" t="s">
        <v>112999</v>
      </c>
      <c r="U212" s="300">
        <v>32624</v>
      </c>
      <c r="V212" s="301">
        <v>20000000</v>
      </c>
      <c r="W212" s="301">
        <v>20000000</v>
      </c>
      <c r="X212" s="302">
        <f>W212-R212</f>
        <v>0</v>
      </c>
    </row>
    <row r="213" spans="2:24" x14ac:dyDescent="0.25">
      <c r="B213" s="338" t="s">
        <v>105516</v>
      </c>
      <c r="C213" s="338" t="s">
        <v>105573</v>
      </c>
      <c r="D213" s="338" t="s">
        <v>105573</v>
      </c>
      <c r="E213" s="338" t="s">
        <v>105573</v>
      </c>
      <c r="F213" s="338" t="s">
        <v>105556</v>
      </c>
      <c r="G213" s="338" t="s">
        <v>105547</v>
      </c>
      <c r="H213" s="68"/>
      <c r="I213" s="68"/>
      <c r="J213" s="68"/>
      <c r="K213" s="69"/>
      <c r="L213" s="69"/>
      <c r="M213" s="70" t="s">
        <v>113326</v>
      </c>
      <c r="N213" s="71"/>
      <c r="O213" s="71"/>
      <c r="P213" s="72"/>
      <c r="Q213" s="72"/>
      <c r="R213" s="73">
        <f>+R214</f>
        <v>50000000</v>
      </c>
      <c r="S213" s="74"/>
      <c r="T213" s="75"/>
      <c r="U213" s="71" t="s">
        <v>112994</v>
      </c>
      <c r="V213" s="362" t="s">
        <v>112994</v>
      </c>
      <c r="W213" s="72"/>
      <c r="X213" s="72"/>
    </row>
    <row r="214" spans="2:24" x14ac:dyDescent="0.25">
      <c r="B214" s="76" t="s">
        <v>105516</v>
      </c>
      <c r="C214" s="76" t="s">
        <v>105573</v>
      </c>
      <c r="D214" s="76" t="s">
        <v>105573</v>
      </c>
      <c r="E214" s="76" t="s">
        <v>105573</v>
      </c>
      <c r="F214" s="76" t="s">
        <v>105556</v>
      </c>
      <c r="G214" s="76" t="s">
        <v>105547</v>
      </c>
      <c r="H214" s="76" t="s">
        <v>106109</v>
      </c>
      <c r="I214" s="76"/>
      <c r="J214" s="76"/>
      <c r="K214" s="76"/>
      <c r="L214" s="76"/>
      <c r="M214" s="78" t="s">
        <v>107228</v>
      </c>
      <c r="N214" s="79"/>
      <c r="O214" s="79"/>
      <c r="P214" s="80"/>
      <c r="Q214" s="80"/>
      <c r="R214" s="81">
        <f>+R215</f>
        <v>50000000</v>
      </c>
      <c r="S214" s="82"/>
      <c r="T214" s="96"/>
      <c r="U214" s="79"/>
      <c r="V214" s="363"/>
      <c r="W214" s="80"/>
      <c r="X214" s="80"/>
    </row>
    <row r="215" spans="2:24" ht="30" x14ac:dyDescent="0.25">
      <c r="B215" s="84"/>
      <c r="C215" s="85"/>
      <c r="D215" s="85"/>
      <c r="E215" s="85"/>
      <c r="F215" s="85"/>
      <c r="G215" s="85"/>
      <c r="H215" s="85"/>
      <c r="I215" s="85"/>
      <c r="J215" s="86"/>
      <c r="K215" s="86" t="s">
        <v>107213</v>
      </c>
      <c r="L215" s="51">
        <v>93141500</v>
      </c>
      <c r="M215" s="88" t="s">
        <v>113113</v>
      </c>
      <c r="N215" s="89">
        <v>45580</v>
      </c>
      <c r="O215" s="89" t="s">
        <v>113068</v>
      </c>
      <c r="P215" s="90" t="s">
        <v>113043</v>
      </c>
      <c r="Q215" s="90" t="s">
        <v>113090</v>
      </c>
      <c r="R215" s="295">
        <v>50000000</v>
      </c>
      <c r="S215" s="92"/>
      <c r="T215" s="93" t="s">
        <v>113010</v>
      </c>
      <c r="U215" s="300">
        <v>58224</v>
      </c>
      <c r="V215" s="301">
        <v>50000000</v>
      </c>
      <c r="W215" s="301"/>
      <c r="X215" s="302">
        <f>W215-R215</f>
        <v>-50000000</v>
      </c>
    </row>
    <row r="216" spans="2:24" x14ac:dyDescent="0.25">
      <c r="B216" s="338" t="s">
        <v>105516</v>
      </c>
      <c r="C216" s="338" t="s">
        <v>105573</v>
      </c>
      <c r="D216" s="338" t="s">
        <v>105573</v>
      </c>
      <c r="E216" s="338" t="s">
        <v>105573</v>
      </c>
      <c r="F216" s="338" t="s">
        <v>105559</v>
      </c>
      <c r="G216" s="68"/>
      <c r="H216" s="68"/>
      <c r="I216" s="68"/>
      <c r="J216" s="68"/>
      <c r="K216" s="69"/>
      <c r="L216" s="69"/>
      <c r="M216" s="70" t="s">
        <v>105564</v>
      </c>
      <c r="N216" s="71"/>
      <c r="O216" s="71"/>
      <c r="P216" s="72"/>
      <c r="Q216" s="72"/>
      <c r="R216" s="73">
        <f>+R217</f>
        <v>69000000</v>
      </c>
      <c r="S216" s="74"/>
      <c r="T216" s="75"/>
      <c r="U216" s="71" t="s">
        <v>112994</v>
      </c>
      <c r="V216" s="362" t="s">
        <v>112994</v>
      </c>
      <c r="W216" s="72"/>
      <c r="X216" s="72"/>
    </row>
    <row r="217" spans="2:24" x14ac:dyDescent="0.25">
      <c r="B217" s="84"/>
      <c r="C217" s="85"/>
      <c r="D217" s="85"/>
      <c r="E217" s="85"/>
      <c r="F217" s="85"/>
      <c r="G217" s="85"/>
      <c r="H217" s="85"/>
      <c r="I217" s="85"/>
      <c r="J217" s="86"/>
      <c r="K217" s="86" t="s">
        <v>107241</v>
      </c>
      <c r="L217" s="51"/>
      <c r="M217" s="97" t="s">
        <v>105564</v>
      </c>
      <c r="N217" s="89" t="s">
        <v>113029</v>
      </c>
      <c r="O217" s="89" t="s">
        <v>113029</v>
      </c>
      <c r="P217" s="90" t="s">
        <v>113029</v>
      </c>
      <c r="Q217" s="90" t="s">
        <v>113029</v>
      </c>
      <c r="R217" s="295">
        <f>50000000+19000000</f>
        <v>69000000</v>
      </c>
      <c r="S217" s="92"/>
      <c r="T217" s="93" t="s">
        <v>113010</v>
      </c>
      <c r="U217" s="300">
        <v>9124</v>
      </c>
      <c r="V217" s="301">
        <f>50000000+19000000</f>
        <v>69000000</v>
      </c>
      <c r="W217" s="301">
        <f>23553115+1971906</f>
        <v>25525021</v>
      </c>
      <c r="X217" s="302">
        <f>W217-R217</f>
        <v>-43474979</v>
      </c>
    </row>
    <row r="218" spans="2:24" x14ac:dyDescent="0.25">
      <c r="B218" s="129" t="s">
        <v>105516</v>
      </c>
      <c r="C218" s="129" t="s">
        <v>105924</v>
      </c>
      <c r="D218" s="129"/>
      <c r="E218" s="129"/>
      <c r="F218" s="129"/>
      <c r="G218" s="129"/>
      <c r="H218" s="129"/>
      <c r="I218" s="129"/>
      <c r="J218" s="129"/>
      <c r="K218" s="130"/>
      <c r="L218" s="130"/>
      <c r="M218" s="131" t="s">
        <v>112080</v>
      </c>
      <c r="N218" s="132"/>
      <c r="O218" s="132"/>
      <c r="P218" s="133"/>
      <c r="Q218" s="133"/>
      <c r="R218" s="134">
        <f>+R219</f>
        <v>13096000000</v>
      </c>
      <c r="S218" s="135"/>
      <c r="T218" s="136"/>
      <c r="U218" s="136"/>
      <c r="V218" s="367"/>
      <c r="W218" s="136"/>
      <c r="X218" s="136"/>
    </row>
    <row r="219" spans="2:24" x14ac:dyDescent="0.25">
      <c r="B219" s="137" t="s">
        <v>105516</v>
      </c>
      <c r="C219" s="137" t="s">
        <v>105924</v>
      </c>
      <c r="D219" s="137" t="s">
        <v>105520</v>
      </c>
      <c r="E219" s="137"/>
      <c r="F219" s="137"/>
      <c r="G219" s="137"/>
      <c r="H219" s="137"/>
      <c r="I219" s="137"/>
      <c r="J219" s="137"/>
      <c r="K219" s="138"/>
      <c r="L219" s="139"/>
      <c r="M219" s="140" t="s">
        <v>112080</v>
      </c>
      <c r="N219" s="141"/>
      <c r="O219" s="141"/>
      <c r="P219" s="142"/>
      <c r="Q219" s="142"/>
      <c r="R219" s="143">
        <f>+R220+R246</f>
        <v>13096000000</v>
      </c>
      <c r="S219" s="144"/>
      <c r="T219" s="145"/>
      <c r="U219" s="145"/>
      <c r="V219" s="368"/>
      <c r="W219" s="145"/>
      <c r="X219" s="145"/>
    </row>
    <row r="220" spans="2:24" x14ac:dyDescent="0.25">
      <c r="B220" s="146" t="s">
        <v>105516</v>
      </c>
      <c r="C220" s="146" t="s">
        <v>105924</v>
      </c>
      <c r="D220" s="146" t="s">
        <v>105520</v>
      </c>
      <c r="E220" s="146" t="s">
        <v>105520</v>
      </c>
      <c r="F220" s="146"/>
      <c r="G220" s="146"/>
      <c r="H220" s="146"/>
      <c r="I220" s="146"/>
      <c r="J220" s="146"/>
      <c r="K220" s="147"/>
      <c r="L220" s="147"/>
      <c r="M220" s="148" t="s">
        <v>106437</v>
      </c>
      <c r="N220" s="149"/>
      <c r="O220" s="149"/>
      <c r="P220" s="150"/>
      <c r="Q220" s="150"/>
      <c r="R220" s="151">
        <f>+R221+R241</f>
        <v>877760000</v>
      </c>
      <c r="S220" s="152"/>
      <c r="T220" s="153"/>
      <c r="U220" s="153"/>
      <c r="V220" s="369"/>
      <c r="W220" s="153"/>
      <c r="X220" s="153"/>
    </row>
    <row r="221" spans="2:24" ht="30" x14ac:dyDescent="0.25">
      <c r="B221" s="59" t="s">
        <v>105516</v>
      </c>
      <c r="C221" s="59" t="s">
        <v>105924</v>
      </c>
      <c r="D221" s="59" t="s">
        <v>105520</v>
      </c>
      <c r="E221" s="59" t="s">
        <v>105520</v>
      </c>
      <c r="F221" s="59" t="s">
        <v>105538</v>
      </c>
      <c r="G221" s="59"/>
      <c r="H221" s="59"/>
      <c r="I221" s="59"/>
      <c r="J221" s="59"/>
      <c r="K221" s="60"/>
      <c r="L221" s="61"/>
      <c r="M221" s="62" t="s">
        <v>106589</v>
      </c>
      <c r="N221" s="63"/>
      <c r="O221" s="63"/>
      <c r="P221" s="64"/>
      <c r="Q221" s="64"/>
      <c r="R221" s="65">
        <f>+R222+R225+R228+R232+R238</f>
        <v>660000000</v>
      </c>
      <c r="S221" s="66"/>
      <c r="T221" s="67"/>
      <c r="U221" s="63" t="s">
        <v>112994</v>
      </c>
      <c r="V221" s="361" t="s">
        <v>112994</v>
      </c>
      <c r="W221" s="64"/>
      <c r="X221" s="64"/>
    </row>
    <row r="222" spans="2:24" ht="30" x14ac:dyDescent="0.25">
      <c r="B222" s="338" t="s">
        <v>105516</v>
      </c>
      <c r="C222" s="338" t="s">
        <v>105924</v>
      </c>
      <c r="D222" s="338" t="s">
        <v>105520</v>
      </c>
      <c r="E222" s="338" t="s">
        <v>105520</v>
      </c>
      <c r="F222" s="338" t="s">
        <v>105538</v>
      </c>
      <c r="G222" s="338" t="s">
        <v>105535</v>
      </c>
      <c r="H222" s="154"/>
      <c r="I222" s="154"/>
      <c r="J222" s="154"/>
      <c r="K222" s="155"/>
      <c r="L222" s="155"/>
      <c r="M222" s="156" t="s">
        <v>113322</v>
      </c>
      <c r="N222" s="157"/>
      <c r="O222" s="157"/>
      <c r="P222" s="158"/>
      <c r="Q222" s="158"/>
      <c r="R222" s="159">
        <f>+R223</f>
        <v>25000000</v>
      </c>
      <c r="S222" s="160"/>
      <c r="T222" s="161"/>
      <c r="U222" s="157"/>
      <c r="V222" s="386"/>
      <c r="W222" s="158"/>
      <c r="X222" s="158"/>
    </row>
    <row r="223" spans="2:24" x14ac:dyDescent="0.25">
      <c r="B223" s="76" t="s">
        <v>105516</v>
      </c>
      <c r="C223" s="76" t="s">
        <v>105924</v>
      </c>
      <c r="D223" s="76" t="s">
        <v>105520</v>
      </c>
      <c r="E223" s="76" t="s">
        <v>105520</v>
      </c>
      <c r="F223" s="77" t="s">
        <v>105538</v>
      </c>
      <c r="G223" s="77" t="s">
        <v>105535</v>
      </c>
      <c r="H223" s="77" t="s">
        <v>105520</v>
      </c>
      <c r="I223" s="76"/>
      <c r="J223" s="76"/>
      <c r="K223" s="76"/>
      <c r="L223" s="76"/>
      <c r="M223" s="78" t="s">
        <v>106595</v>
      </c>
      <c r="N223" s="79"/>
      <c r="O223" s="79"/>
      <c r="P223" s="80"/>
      <c r="Q223" s="80"/>
      <c r="R223" s="81">
        <f>+R224</f>
        <v>25000000</v>
      </c>
      <c r="S223" s="82"/>
      <c r="T223" s="96"/>
      <c r="U223" s="79"/>
      <c r="V223" s="363"/>
      <c r="W223" s="80"/>
      <c r="X223" s="80"/>
    </row>
    <row r="224" spans="2:24" ht="52.5" customHeight="1" x14ac:dyDescent="0.25">
      <c r="B224" s="84"/>
      <c r="C224" s="85"/>
      <c r="D224" s="85"/>
      <c r="E224" s="85"/>
      <c r="F224" s="85"/>
      <c r="G224" s="85"/>
      <c r="H224" s="85"/>
      <c r="I224" s="85"/>
      <c r="J224" s="86"/>
      <c r="K224" s="86" t="s">
        <v>112177</v>
      </c>
      <c r="L224" s="87" t="s">
        <v>113024</v>
      </c>
      <c r="M224" s="88" t="s">
        <v>113025</v>
      </c>
      <c r="N224" s="89">
        <v>45381</v>
      </c>
      <c r="O224" s="89" t="s">
        <v>113004</v>
      </c>
      <c r="P224" s="90" t="s">
        <v>113026</v>
      </c>
      <c r="Q224" s="90" t="s">
        <v>113006</v>
      </c>
      <c r="R224" s="91">
        <v>25000000</v>
      </c>
      <c r="S224" s="119"/>
      <c r="T224" s="93" t="s">
        <v>113027</v>
      </c>
      <c r="U224" s="300">
        <v>30224</v>
      </c>
      <c r="V224" s="301">
        <v>25000000</v>
      </c>
      <c r="W224" s="301">
        <v>25000000</v>
      </c>
      <c r="X224" s="302">
        <f>W224-R224</f>
        <v>0</v>
      </c>
    </row>
    <row r="225" spans="2:24" ht="30" x14ac:dyDescent="0.25">
      <c r="B225" s="338" t="s">
        <v>105516</v>
      </c>
      <c r="C225" s="338" t="s">
        <v>105924</v>
      </c>
      <c r="D225" s="338" t="s">
        <v>105520</v>
      </c>
      <c r="E225" s="338" t="s">
        <v>105520</v>
      </c>
      <c r="F225" s="338" t="s">
        <v>105538</v>
      </c>
      <c r="G225" s="338" t="s">
        <v>105538</v>
      </c>
      <c r="H225" s="154"/>
      <c r="I225" s="154"/>
      <c r="J225" s="154"/>
      <c r="K225" s="155"/>
      <c r="L225" s="155"/>
      <c r="M225" s="156" t="s">
        <v>106611</v>
      </c>
      <c r="N225" s="157"/>
      <c r="O225" s="157"/>
      <c r="P225" s="158"/>
      <c r="Q225" s="158"/>
      <c r="R225" s="159">
        <f>+R226</f>
        <v>150000000</v>
      </c>
      <c r="S225" s="160"/>
      <c r="T225" s="161"/>
      <c r="U225" s="157"/>
      <c r="V225" s="386"/>
      <c r="W225" s="158"/>
      <c r="X225" s="158"/>
    </row>
    <row r="226" spans="2:24" ht="60" x14ac:dyDescent="0.25">
      <c r="B226" s="76" t="s">
        <v>105516</v>
      </c>
      <c r="C226" s="76" t="s">
        <v>105924</v>
      </c>
      <c r="D226" s="76" t="s">
        <v>105520</v>
      </c>
      <c r="E226" s="76" t="s">
        <v>105520</v>
      </c>
      <c r="F226" s="77" t="s">
        <v>105538</v>
      </c>
      <c r="G226" s="77" t="s">
        <v>105538</v>
      </c>
      <c r="H226" s="77" t="s">
        <v>105675</v>
      </c>
      <c r="I226" s="76"/>
      <c r="J226" s="76"/>
      <c r="K226" s="76"/>
      <c r="L226" s="76"/>
      <c r="M226" s="78" t="s">
        <v>106617</v>
      </c>
      <c r="N226" s="79"/>
      <c r="O226" s="79"/>
      <c r="P226" s="80"/>
      <c r="Q226" s="80"/>
      <c r="R226" s="81">
        <f>+R227</f>
        <v>150000000</v>
      </c>
      <c r="S226" s="82"/>
      <c r="T226" s="96"/>
      <c r="U226" s="79"/>
      <c r="V226" s="363"/>
      <c r="W226" s="80"/>
      <c r="X226" s="80"/>
    </row>
    <row r="227" spans="2:24" ht="60" x14ac:dyDescent="0.25">
      <c r="B227" s="84"/>
      <c r="C227" s="85"/>
      <c r="D227" s="85"/>
      <c r="E227" s="85"/>
      <c r="F227" s="85"/>
      <c r="G227" s="85"/>
      <c r="H227" s="85"/>
      <c r="I227" s="85"/>
      <c r="J227" s="85"/>
      <c r="K227" s="86" t="s">
        <v>112186</v>
      </c>
      <c r="L227" s="162">
        <v>15101500</v>
      </c>
      <c r="M227" s="97" t="s">
        <v>113114</v>
      </c>
      <c r="N227" s="89">
        <v>45324</v>
      </c>
      <c r="O227" s="89" t="s">
        <v>113000</v>
      </c>
      <c r="P227" s="90" t="s">
        <v>113003</v>
      </c>
      <c r="Q227" s="90" t="s">
        <v>113036</v>
      </c>
      <c r="R227" s="91">
        <v>150000000</v>
      </c>
      <c r="S227" s="119"/>
      <c r="T227" s="93" t="s">
        <v>112999</v>
      </c>
      <c r="U227" s="300">
        <v>32724</v>
      </c>
      <c r="V227" s="301">
        <v>150000000</v>
      </c>
      <c r="W227" s="301">
        <v>146850000</v>
      </c>
      <c r="X227" s="302">
        <f>W227-R227</f>
        <v>-3150000</v>
      </c>
    </row>
    <row r="228" spans="2:24" ht="34.5" customHeight="1" x14ac:dyDescent="0.25">
      <c r="B228" s="338" t="s">
        <v>105516</v>
      </c>
      <c r="C228" s="338" t="s">
        <v>105924</v>
      </c>
      <c r="D228" s="338" t="s">
        <v>105520</v>
      </c>
      <c r="E228" s="338" t="s">
        <v>105520</v>
      </c>
      <c r="F228" s="338" t="s">
        <v>105538</v>
      </c>
      <c r="G228" s="341" t="s">
        <v>105544</v>
      </c>
      <c r="H228" s="154"/>
      <c r="I228" s="154"/>
      <c r="J228" s="154"/>
      <c r="K228" s="155"/>
      <c r="L228" s="155"/>
      <c r="M228" s="156" t="s">
        <v>106645</v>
      </c>
      <c r="N228" s="157"/>
      <c r="O228" s="157"/>
      <c r="P228" s="158"/>
      <c r="Q228" s="158"/>
      <c r="R228" s="159">
        <f>+R229</f>
        <v>45000000</v>
      </c>
      <c r="S228" s="160"/>
      <c r="T228" s="161"/>
      <c r="U228" s="157"/>
      <c r="V228" s="386"/>
      <c r="W228" s="158"/>
      <c r="X228" s="158"/>
    </row>
    <row r="229" spans="2:24" x14ac:dyDescent="0.25">
      <c r="B229" s="76" t="s">
        <v>105516</v>
      </c>
      <c r="C229" s="76" t="s">
        <v>105924</v>
      </c>
      <c r="D229" s="76" t="s">
        <v>105520</v>
      </c>
      <c r="E229" s="76" t="s">
        <v>105520</v>
      </c>
      <c r="F229" s="76" t="s">
        <v>105538</v>
      </c>
      <c r="G229" s="76" t="s">
        <v>105544</v>
      </c>
      <c r="H229" s="163" t="s">
        <v>105573</v>
      </c>
      <c r="I229" s="76"/>
      <c r="J229" s="76"/>
      <c r="K229" s="76"/>
      <c r="L229" s="76"/>
      <c r="M229" s="103" t="s">
        <v>106649</v>
      </c>
      <c r="N229" s="79"/>
      <c r="O229" s="79"/>
      <c r="P229" s="80"/>
      <c r="Q229" s="80"/>
      <c r="R229" s="81">
        <f>SUM(R230:R231)</f>
        <v>45000000</v>
      </c>
      <c r="S229" s="82"/>
      <c r="T229" s="96"/>
      <c r="U229" s="79"/>
      <c r="V229" s="363"/>
      <c r="W229" s="80"/>
      <c r="X229" s="80"/>
    </row>
    <row r="230" spans="2:24" ht="43.5" customHeight="1" x14ac:dyDescent="0.25">
      <c r="B230" s="124"/>
      <c r="C230" s="125"/>
      <c r="D230" s="125"/>
      <c r="E230" s="125"/>
      <c r="F230" s="125"/>
      <c r="G230" s="125"/>
      <c r="H230" s="125"/>
      <c r="I230" s="125"/>
      <c r="J230" s="126"/>
      <c r="K230" s="86" t="s">
        <v>112204</v>
      </c>
      <c r="L230" s="87" t="s">
        <v>113211</v>
      </c>
      <c r="M230" s="97" t="s">
        <v>113115</v>
      </c>
      <c r="N230" s="89">
        <v>45427</v>
      </c>
      <c r="O230" s="89" t="s">
        <v>113084</v>
      </c>
      <c r="P230" s="90" t="s">
        <v>113137</v>
      </c>
      <c r="Q230" s="90" t="s">
        <v>113036</v>
      </c>
      <c r="R230" s="91">
        <v>20000000</v>
      </c>
      <c r="S230" s="92"/>
      <c r="T230" s="93" t="s">
        <v>113017</v>
      </c>
      <c r="U230" s="300">
        <v>42024</v>
      </c>
      <c r="V230" s="301">
        <v>20000000</v>
      </c>
      <c r="W230" s="93"/>
      <c r="X230" s="302">
        <f t="shared" ref="X230:X231" si="9">W230-R230</f>
        <v>-20000000</v>
      </c>
    </row>
    <row r="231" spans="2:24" ht="30.75" customHeight="1" x14ac:dyDescent="0.25">
      <c r="B231" s="124"/>
      <c r="C231" s="125"/>
      <c r="D231" s="125"/>
      <c r="E231" s="125"/>
      <c r="F231" s="125"/>
      <c r="G231" s="125"/>
      <c r="H231" s="125"/>
      <c r="I231" s="125"/>
      <c r="J231" s="126"/>
      <c r="K231" s="86" t="s">
        <v>112204</v>
      </c>
      <c r="L231" s="87">
        <v>44103100</v>
      </c>
      <c r="M231" s="97" t="s">
        <v>113037</v>
      </c>
      <c r="N231" s="89">
        <v>45352</v>
      </c>
      <c r="O231" s="89" t="s">
        <v>113004</v>
      </c>
      <c r="P231" s="90" t="s">
        <v>113038</v>
      </c>
      <c r="Q231" s="90" t="s">
        <v>113282</v>
      </c>
      <c r="R231" s="91">
        <v>25000000</v>
      </c>
      <c r="S231" s="92"/>
      <c r="T231" s="93" t="s">
        <v>113027</v>
      </c>
      <c r="U231" s="300">
        <v>30224</v>
      </c>
      <c r="V231" s="301">
        <v>25000000</v>
      </c>
      <c r="W231" s="301">
        <v>25000000</v>
      </c>
      <c r="X231" s="302">
        <f t="shared" si="9"/>
        <v>0</v>
      </c>
    </row>
    <row r="232" spans="2:24" x14ac:dyDescent="0.25">
      <c r="B232" s="338" t="s">
        <v>105516</v>
      </c>
      <c r="C232" s="338" t="s">
        <v>105924</v>
      </c>
      <c r="D232" s="338" t="s">
        <v>105520</v>
      </c>
      <c r="E232" s="338" t="s">
        <v>105520</v>
      </c>
      <c r="F232" s="338" t="s">
        <v>105538</v>
      </c>
      <c r="G232" s="341" t="s">
        <v>105547</v>
      </c>
      <c r="H232" s="154"/>
      <c r="I232" s="154"/>
      <c r="J232" s="154"/>
      <c r="K232" s="155"/>
      <c r="L232" s="155"/>
      <c r="M232" s="156" t="s">
        <v>106657</v>
      </c>
      <c r="N232" s="157"/>
      <c r="O232" s="157"/>
      <c r="P232" s="158"/>
      <c r="Q232" s="158"/>
      <c r="R232" s="159">
        <f>+R233+R236</f>
        <v>240000000</v>
      </c>
      <c r="S232" s="160"/>
      <c r="T232" s="161"/>
      <c r="U232" s="157"/>
      <c r="V232" s="386"/>
      <c r="W232" s="158"/>
      <c r="X232" s="158"/>
    </row>
    <row r="233" spans="2:24" x14ac:dyDescent="0.25">
      <c r="B233" s="76" t="s">
        <v>105516</v>
      </c>
      <c r="C233" s="76" t="s">
        <v>105924</v>
      </c>
      <c r="D233" s="76" t="s">
        <v>105520</v>
      </c>
      <c r="E233" s="76" t="s">
        <v>105520</v>
      </c>
      <c r="F233" s="76" t="s">
        <v>105538</v>
      </c>
      <c r="G233" s="163" t="s">
        <v>105547</v>
      </c>
      <c r="H233" s="163" t="s">
        <v>105675</v>
      </c>
      <c r="I233" s="76"/>
      <c r="J233" s="76"/>
      <c r="K233" s="76"/>
      <c r="L233" s="76"/>
      <c r="M233" s="78" t="s">
        <v>106663</v>
      </c>
      <c r="N233" s="79"/>
      <c r="O233" s="79"/>
      <c r="P233" s="80"/>
      <c r="Q233" s="80"/>
      <c r="R233" s="81">
        <f>SUM(R234:R235)</f>
        <v>40000000</v>
      </c>
      <c r="S233" s="82"/>
      <c r="T233" s="96"/>
      <c r="U233" s="79"/>
      <c r="V233" s="363"/>
      <c r="W233" s="80"/>
      <c r="X233" s="80"/>
    </row>
    <row r="234" spans="2:24" ht="25.5" customHeight="1" x14ac:dyDescent="0.25">
      <c r="B234" s="84"/>
      <c r="C234" s="85"/>
      <c r="D234" s="85"/>
      <c r="E234" s="85"/>
      <c r="F234" s="85"/>
      <c r="G234" s="85"/>
      <c r="H234" s="85"/>
      <c r="I234" s="85"/>
      <c r="J234" s="86"/>
      <c r="K234" s="86" t="s">
        <v>112210</v>
      </c>
      <c r="L234" s="87" t="s">
        <v>113213</v>
      </c>
      <c r="M234" s="97" t="s">
        <v>113117</v>
      </c>
      <c r="N234" s="89">
        <v>45397</v>
      </c>
      <c r="O234" s="89" t="s">
        <v>113004</v>
      </c>
      <c r="P234" s="90" t="s">
        <v>113026</v>
      </c>
      <c r="Q234" s="90" t="s">
        <v>113006</v>
      </c>
      <c r="R234" s="91">
        <v>40000000</v>
      </c>
      <c r="S234" s="92"/>
      <c r="T234" s="93" t="s">
        <v>113017</v>
      </c>
      <c r="U234" s="303"/>
      <c r="V234" s="301"/>
      <c r="W234" s="301"/>
      <c r="X234" s="302">
        <f t="shared" ref="X234:X235" si="10">W234-R234</f>
        <v>-40000000</v>
      </c>
    </row>
    <row r="235" spans="2:24" ht="25.5" customHeight="1" x14ac:dyDescent="0.25">
      <c r="B235" s="124"/>
      <c r="C235" s="125"/>
      <c r="D235" s="125"/>
      <c r="E235" s="125"/>
      <c r="F235" s="125"/>
      <c r="G235" s="125"/>
      <c r="H235" s="125"/>
      <c r="I235" s="125"/>
      <c r="J235" s="126"/>
      <c r="K235" s="86" t="s">
        <v>112210</v>
      </c>
      <c r="L235" s="164" t="s">
        <v>113212</v>
      </c>
      <c r="M235" s="97" t="s">
        <v>113116</v>
      </c>
      <c r="N235" s="89">
        <v>45352</v>
      </c>
      <c r="O235" s="89" t="s">
        <v>113000</v>
      </c>
      <c r="P235" s="90" t="s">
        <v>113038</v>
      </c>
      <c r="Q235" s="90" t="s">
        <v>113091</v>
      </c>
      <c r="R235" s="91">
        <v>0</v>
      </c>
      <c r="S235" s="92"/>
      <c r="T235" s="93" t="s">
        <v>113017</v>
      </c>
      <c r="U235" s="303"/>
      <c r="V235" s="301"/>
      <c r="W235" s="301"/>
      <c r="X235" s="302">
        <f t="shared" si="10"/>
        <v>0</v>
      </c>
    </row>
    <row r="236" spans="2:24" x14ac:dyDescent="0.25">
      <c r="B236" s="76" t="s">
        <v>105516</v>
      </c>
      <c r="C236" s="76" t="s">
        <v>105924</v>
      </c>
      <c r="D236" s="76" t="s">
        <v>105520</v>
      </c>
      <c r="E236" s="76" t="s">
        <v>105520</v>
      </c>
      <c r="F236" s="76" t="s">
        <v>105538</v>
      </c>
      <c r="G236" s="163" t="s">
        <v>105547</v>
      </c>
      <c r="H236" s="163" t="s">
        <v>106109</v>
      </c>
      <c r="I236" s="76"/>
      <c r="J236" s="76"/>
      <c r="K236" s="76"/>
      <c r="L236" s="76"/>
      <c r="M236" s="103" t="s">
        <v>106667</v>
      </c>
      <c r="N236" s="79"/>
      <c r="O236" s="79"/>
      <c r="P236" s="80"/>
      <c r="Q236" s="80"/>
      <c r="R236" s="81">
        <f>+R237</f>
        <v>200000000</v>
      </c>
      <c r="S236" s="82"/>
      <c r="T236" s="96"/>
      <c r="U236" s="79"/>
      <c r="V236" s="363"/>
      <c r="W236" s="80"/>
      <c r="X236" s="80"/>
    </row>
    <row r="237" spans="2:24" ht="45" x14ac:dyDescent="0.25">
      <c r="B237" s="124"/>
      <c r="C237" s="125"/>
      <c r="D237" s="125"/>
      <c r="E237" s="125"/>
      <c r="F237" s="125"/>
      <c r="G237" s="125"/>
      <c r="H237" s="125"/>
      <c r="I237" s="125"/>
      <c r="J237" s="126"/>
      <c r="K237" s="86" t="s">
        <v>112210</v>
      </c>
      <c r="L237" s="112" t="s">
        <v>113214</v>
      </c>
      <c r="M237" s="113" t="s">
        <v>113118</v>
      </c>
      <c r="N237" s="114">
        <v>45393</v>
      </c>
      <c r="O237" s="89" t="s">
        <v>113004</v>
      </c>
      <c r="P237" s="90" t="s">
        <v>113137</v>
      </c>
      <c r="Q237" s="121" t="s">
        <v>113091</v>
      </c>
      <c r="R237" s="91">
        <v>200000000</v>
      </c>
      <c r="S237" s="92"/>
      <c r="T237" s="93" t="s">
        <v>113017</v>
      </c>
      <c r="U237" s="300">
        <v>41924</v>
      </c>
      <c r="V237" s="301">
        <v>200000000</v>
      </c>
      <c r="W237" s="93"/>
      <c r="X237" s="302">
        <f>W237-R237</f>
        <v>-200000000</v>
      </c>
    </row>
    <row r="238" spans="2:24" ht="30" x14ac:dyDescent="0.25">
      <c r="B238" s="338" t="s">
        <v>105516</v>
      </c>
      <c r="C238" s="338" t="s">
        <v>105924</v>
      </c>
      <c r="D238" s="338" t="s">
        <v>105520</v>
      </c>
      <c r="E238" s="338" t="s">
        <v>105520</v>
      </c>
      <c r="F238" s="338" t="s">
        <v>105538</v>
      </c>
      <c r="G238" s="338" t="s">
        <v>105550</v>
      </c>
      <c r="H238" s="154"/>
      <c r="I238" s="154"/>
      <c r="J238" s="154"/>
      <c r="K238" s="155"/>
      <c r="L238" s="155"/>
      <c r="M238" s="156" t="s">
        <v>106669</v>
      </c>
      <c r="N238" s="157"/>
      <c r="O238" s="157"/>
      <c r="P238" s="158"/>
      <c r="Q238" s="158"/>
      <c r="R238" s="159">
        <f>+R239</f>
        <v>200000000</v>
      </c>
      <c r="S238" s="160"/>
      <c r="T238" s="161"/>
      <c r="U238" s="157"/>
      <c r="V238" s="386"/>
      <c r="W238" s="158"/>
      <c r="X238" s="158"/>
    </row>
    <row r="239" spans="2:24" x14ac:dyDescent="0.25">
      <c r="B239" s="76" t="s">
        <v>105516</v>
      </c>
      <c r="C239" s="76" t="s">
        <v>105924</v>
      </c>
      <c r="D239" s="76" t="s">
        <v>105520</v>
      </c>
      <c r="E239" s="76" t="s">
        <v>105520</v>
      </c>
      <c r="F239" s="76" t="s">
        <v>105538</v>
      </c>
      <c r="G239" s="76" t="s">
        <v>105550</v>
      </c>
      <c r="H239" s="76" t="s">
        <v>105520</v>
      </c>
      <c r="I239" s="76"/>
      <c r="J239" s="76"/>
      <c r="K239" s="76"/>
      <c r="L239" s="76"/>
      <c r="M239" s="78" t="s">
        <v>106671</v>
      </c>
      <c r="N239" s="79"/>
      <c r="O239" s="79"/>
      <c r="P239" s="80"/>
      <c r="Q239" s="80"/>
      <c r="R239" s="81">
        <f>+R240</f>
        <v>200000000</v>
      </c>
      <c r="S239" s="82"/>
      <c r="T239" s="96"/>
      <c r="U239" s="79"/>
      <c r="V239" s="363"/>
      <c r="W239" s="80"/>
      <c r="X239" s="80"/>
    </row>
    <row r="240" spans="2:24" ht="45" x14ac:dyDescent="0.25">
      <c r="B240" s="84"/>
      <c r="C240" s="85"/>
      <c r="D240" s="85"/>
      <c r="E240" s="85"/>
      <c r="F240" s="85"/>
      <c r="G240" s="85"/>
      <c r="H240" s="85"/>
      <c r="I240" s="85"/>
      <c r="J240" s="86"/>
      <c r="K240" s="86" t="s">
        <v>112216</v>
      </c>
      <c r="L240" s="87">
        <v>30171600</v>
      </c>
      <c r="M240" s="97" t="s">
        <v>113119</v>
      </c>
      <c r="N240" s="89">
        <v>45306</v>
      </c>
      <c r="O240" s="89" t="s">
        <v>113035</v>
      </c>
      <c r="P240" s="90" t="s">
        <v>113020</v>
      </c>
      <c r="Q240" s="90" t="s">
        <v>112998</v>
      </c>
      <c r="R240" s="91">
        <v>200000000</v>
      </c>
      <c r="S240" s="92"/>
      <c r="T240" s="93" t="s">
        <v>112999</v>
      </c>
      <c r="U240" s="300">
        <v>15324</v>
      </c>
      <c r="V240" s="301">
        <v>200000000</v>
      </c>
      <c r="W240" s="301">
        <v>200000000</v>
      </c>
      <c r="X240" s="302">
        <f>W240-R240</f>
        <v>0</v>
      </c>
    </row>
    <row r="241" spans="1:24" x14ac:dyDescent="0.25">
      <c r="B241" s="59" t="s">
        <v>105516</v>
      </c>
      <c r="C241" s="59" t="s">
        <v>105924</v>
      </c>
      <c r="D241" s="59" t="s">
        <v>105520</v>
      </c>
      <c r="E241" s="59" t="s">
        <v>105520</v>
      </c>
      <c r="F241" s="165" t="s">
        <v>105541</v>
      </c>
      <c r="G241" s="59"/>
      <c r="H241" s="59"/>
      <c r="I241" s="59"/>
      <c r="J241" s="59"/>
      <c r="K241" s="60"/>
      <c r="L241" s="61"/>
      <c r="M241" s="62" t="s">
        <v>112242</v>
      </c>
      <c r="N241" s="63"/>
      <c r="O241" s="63"/>
      <c r="P241" s="64"/>
      <c r="Q241" s="64"/>
      <c r="R241" s="65">
        <f>+R242+R244</f>
        <v>217760000</v>
      </c>
      <c r="S241" s="66"/>
      <c r="T241" s="67"/>
      <c r="U241" s="63" t="s">
        <v>112994</v>
      </c>
      <c r="V241" s="361" t="s">
        <v>112994</v>
      </c>
      <c r="W241" s="64"/>
      <c r="X241" s="64"/>
    </row>
    <row r="242" spans="1:24" ht="30" x14ac:dyDescent="0.25">
      <c r="B242" s="338" t="s">
        <v>105516</v>
      </c>
      <c r="C242" s="338" t="s">
        <v>105924</v>
      </c>
      <c r="D242" s="338" t="s">
        <v>105520</v>
      </c>
      <c r="E242" s="338" t="s">
        <v>105520</v>
      </c>
      <c r="F242" s="338" t="s">
        <v>105541</v>
      </c>
      <c r="G242" s="338" t="s">
        <v>105535</v>
      </c>
      <c r="H242" s="154"/>
      <c r="I242" s="154"/>
      <c r="J242" s="154"/>
      <c r="K242" s="155"/>
      <c r="L242" s="155"/>
      <c r="M242" s="156" t="s">
        <v>106709</v>
      </c>
      <c r="N242" s="157"/>
      <c r="O242" s="157"/>
      <c r="P242" s="158"/>
      <c r="Q242" s="158"/>
      <c r="R242" s="159">
        <f>+R243</f>
        <v>185000000</v>
      </c>
      <c r="S242" s="160"/>
      <c r="T242" s="161"/>
      <c r="U242" s="157"/>
      <c r="V242" s="386"/>
      <c r="W242" s="158"/>
      <c r="X242" s="158"/>
    </row>
    <row r="243" spans="1:24" ht="51.75" customHeight="1" x14ac:dyDescent="0.25">
      <c r="B243" s="84"/>
      <c r="C243" s="85"/>
      <c r="D243" s="85"/>
      <c r="E243" s="85"/>
      <c r="F243" s="85"/>
      <c r="G243" s="85"/>
      <c r="H243" s="85"/>
      <c r="I243" s="85"/>
      <c r="J243" s="86"/>
      <c r="K243" s="86" t="s">
        <v>112244</v>
      </c>
      <c r="L243" s="164" t="s">
        <v>113344</v>
      </c>
      <c r="M243" s="97" t="s">
        <v>113343</v>
      </c>
      <c r="N243" s="89">
        <v>45474</v>
      </c>
      <c r="O243" s="89" t="s">
        <v>112996</v>
      </c>
      <c r="P243" s="90" t="s">
        <v>113005</v>
      </c>
      <c r="Q243" s="90" t="s">
        <v>112998</v>
      </c>
      <c r="R243" s="320">
        <v>185000000</v>
      </c>
      <c r="S243" s="92"/>
      <c r="T243" s="93" t="s">
        <v>113017</v>
      </c>
      <c r="U243" s="93"/>
      <c r="V243" s="365"/>
      <c r="W243" s="93"/>
      <c r="X243" s="302">
        <f>W243-R243</f>
        <v>-185000000</v>
      </c>
    </row>
    <row r="244" spans="1:24" s="325" customFormat="1" x14ac:dyDescent="0.25">
      <c r="A244" s="324"/>
      <c r="B244" s="338" t="s">
        <v>105516</v>
      </c>
      <c r="C244" s="338" t="s">
        <v>105924</v>
      </c>
      <c r="D244" s="338" t="s">
        <v>105520</v>
      </c>
      <c r="E244" s="338" t="s">
        <v>105520</v>
      </c>
      <c r="F244" s="338" t="s">
        <v>105541</v>
      </c>
      <c r="G244" s="340" t="s">
        <v>105547</v>
      </c>
      <c r="H244" s="154"/>
      <c r="I244" s="154"/>
      <c r="J244" s="154"/>
      <c r="K244" s="155"/>
      <c r="L244" s="155"/>
      <c r="M244" s="156" t="s">
        <v>106270</v>
      </c>
      <c r="N244" s="157"/>
      <c r="O244" s="157"/>
      <c r="P244" s="158"/>
      <c r="Q244" s="158"/>
      <c r="R244" s="159">
        <f>R245</f>
        <v>32760000</v>
      </c>
      <c r="S244" s="160"/>
      <c r="T244" s="161"/>
      <c r="U244" s="157"/>
      <c r="V244" s="386"/>
      <c r="W244" s="158"/>
      <c r="X244" s="158"/>
    </row>
    <row r="245" spans="1:24" ht="45" x14ac:dyDescent="0.25">
      <c r="B245" s="84"/>
      <c r="C245" s="85"/>
      <c r="D245" s="85"/>
      <c r="E245" s="85"/>
      <c r="F245" s="85"/>
      <c r="G245" s="85"/>
      <c r="H245" s="85"/>
      <c r="I245" s="85"/>
      <c r="J245" s="86"/>
      <c r="K245" s="86" t="s">
        <v>112266</v>
      </c>
      <c r="L245" s="164">
        <v>46171619</v>
      </c>
      <c r="M245" s="97" t="s">
        <v>113220</v>
      </c>
      <c r="N245" s="89">
        <v>45366</v>
      </c>
      <c r="O245" s="89" t="s">
        <v>113000</v>
      </c>
      <c r="P245" s="90" t="s">
        <v>113001</v>
      </c>
      <c r="Q245" s="90" t="s">
        <v>112998</v>
      </c>
      <c r="R245" s="91">
        <f>45000000-12240000</f>
        <v>32760000</v>
      </c>
      <c r="S245" s="92"/>
      <c r="T245" s="93" t="s">
        <v>112999</v>
      </c>
      <c r="U245" s="303"/>
      <c r="V245" s="301"/>
      <c r="W245" s="301"/>
      <c r="X245" s="302">
        <f>W245-R245</f>
        <v>-32760000</v>
      </c>
    </row>
    <row r="246" spans="1:24" x14ac:dyDescent="0.25">
      <c r="B246" s="146" t="s">
        <v>105516</v>
      </c>
      <c r="C246" s="146" t="s">
        <v>105924</v>
      </c>
      <c r="D246" s="146" t="s">
        <v>105520</v>
      </c>
      <c r="E246" s="146" t="s">
        <v>105573</v>
      </c>
      <c r="F246" s="146"/>
      <c r="G246" s="146"/>
      <c r="H246" s="146"/>
      <c r="I246" s="146"/>
      <c r="J246" s="146"/>
      <c r="K246" s="147"/>
      <c r="L246" s="147">
        <v>30171700</v>
      </c>
      <c r="M246" s="148" t="s">
        <v>106777</v>
      </c>
      <c r="N246" s="149"/>
      <c r="O246" s="149"/>
      <c r="P246" s="150"/>
      <c r="Q246" s="150"/>
      <c r="R246" s="151">
        <f>SUM(R247+R267+R271+R283+R312)</f>
        <v>12218240000</v>
      </c>
      <c r="S246" s="152"/>
      <c r="T246" s="153"/>
      <c r="U246" s="153"/>
      <c r="V246" s="369"/>
      <c r="W246" s="153"/>
      <c r="X246" s="153"/>
    </row>
    <row r="247" spans="1:24" x14ac:dyDescent="0.25">
      <c r="B247" s="59" t="s">
        <v>105516</v>
      </c>
      <c r="C247" s="59" t="s">
        <v>105924</v>
      </c>
      <c r="D247" s="59" t="s">
        <v>105520</v>
      </c>
      <c r="E247" s="59" t="s">
        <v>105573</v>
      </c>
      <c r="F247" s="59" t="s">
        <v>105544</v>
      </c>
      <c r="G247" s="59"/>
      <c r="H247" s="59"/>
      <c r="I247" s="59"/>
      <c r="J247" s="59"/>
      <c r="K247" s="60"/>
      <c r="L247" s="61">
        <v>75153000</v>
      </c>
      <c r="M247" s="62" t="s">
        <v>106779</v>
      </c>
      <c r="N247" s="63"/>
      <c r="O247" s="63"/>
      <c r="P247" s="64"/>
      <c r="Q247" s="64"/>
      <c r="R247" s="65">
        <f>+R248</f>
        <v>8551969713</v>
      </c>
      <c r="S247" s="66"/>
      <c r="T247" s="67"/>
      <c r="U247" s="63" t="s">
        <v>112994</v>
      </c>
      <c r="V247" s="361" t="s">
        <v>112994</v>
      </c>
      <c r="W247" s="64"/>
      <c r="X247" s="64"/>
    </row>
    <row r="248" spans="1:24" x14ac:dyDescent="0.25">
      <c r="B248" s="338" t="s">
        <v>105516</v>
      </c>
      <c r="C248" s="338" t="s">
        <v>105924</v>
      </c>
      <c r="D248" s="338" t="s">
        <v>105520</v>
      </c>
      <c r="E248" s="338" t="s">
        <v>105573</v>
      </c>
      <c r="F248" s="338" t="s">
        <v>105544</v>
      </c>
      <c r="G248" s="338" t="s">
        <v>105541</v>
      </c>
      <c r="H248" s="154"/>
      <c r="I248" s="154"/>
      <c r="J248" s="154"/>
      <c r="K248" s="155"/>
      <c r="L248" s="155"/>
      <c r="M248" s="166" t="s">
        <v>106781</v>
      </c>
      <c r="N248" s="157"/>
      <c r="O248" s="157"/>
      <c r="P248" s="158"/>
      <c r="Q248" s="158"/>
      <c r="R248" s="159">
        <f>+R249+R258+R262</f>
        <v>8551969713</v>
      </c>
      <c r="S248" s="160"/>
      <c r="T248" s="161"/>
      <c r="U248" s="157"/>
      <c r="V248" s="386"/>
      <c r="W248" s="158"/>
      <c r="X248" s="158"/>
    </row>
    <row r="249" spans="1:24" ht="19.5" customHeight="1" x14ac:dyDescent="0.25">
      <c r="B249" s="76" t="s">
        <v>105516</v>
      </c>
      <c r="C249" s="76" t="s">
        <v>105924</v>
      </c>
      <c r="D249" s="76" t="s">
        <v>105520</v>
      </c>
      <c r="E249" s="76" t="s">
        <v>105573</v>
      </c>
      <c r="F249" s="76" t="s">
        <v>105544</v>
      </c>
      <c r="G249" s="76" t="s">
        <v>105541</v>
      </c>
      <c r="H249" s="76" t="s">
        <v>105924</v>
      </c>
      <c r="I249" s="76"/>
      <c r="J249" s="76"/>
      <c r="K249" s="76"/>
      <c r="L249" s="76"/>
      <c r="M249" s="78" t="s">
        <v>106811</v>
      </c>
      <c r="N249" s="79"/>
      <c r="O249" s="79"/>
      <c r="P249" s="80"/>
      <c r="Q249" s="80"/>
      <c r="R249" s="81">
        <f>SUM(R250:R257)</f>
        <v>7023369713</v>
      </c>
      <c r="S249" s="82"/>
      <c r="T249" s="96"/>
      <c r="U249" s="79"/>
      <c r="V249" s="363"/>
      <c r="W249" s="80"/>
      <c r="X249" s="80"/>
    </row>
    <row r="250" spans="1:24" ht="58.5" customHeight="1" x14ac:dyDescent="0.25">
      <c r="B250" s="84"/>
      <c r="C250" s="85"/>
      <c r="D250" s="85"/>
      <c r="E250" s="85"/>
      <c r="F250" s="85"/>
      <c r="G250" s="85"/>
      <c r="H250" s="85"/>
      <c r="I250" s="85"/>
      <c r="J250" s="86"/>
      <c r="K250" s="86" t="s">
        <v>112301</v>
      </c>
      <c r="L250" s="87" t="s">
        <v>113121</v>
      </c>
      <c r="M250" s="88" t="s">
        <v>113221</v>
      </c>
      <c r="N250" s="89">
        <v>45306</v>
      </c>
      <c r="O250" s="89" t="s">
        <v>113058</v>
      </c>
      <c r="P250" s="90" t="s">
        <v>113020</v>
      </c>
      <c r="Q250" s="90" t="s">
        <v>113120</v>
      </c>
      <c r="R250" s="320">
        <f>3000000000+2700000000+303699713</f>
        <v>6003699713</v>
      </c>
      <c r="S250" s="119"/>
      <c r="T250" s="93" t="s">
        <v>112999</v>
      </c>
      <c r="U250" s="300">
        <v>16724</v>
      </c>
      <c r="V250" s="301">
        <v>5700000000</v>
      </c>
      <c r="W250" s="301">
        <f>4702080000+912560000+85360000</f>
        <v>5700000000</v>
      </c>
      <c r="X250" s="302">
        <f t="shared" ref="X250:X257" si="11">W250-R250</f>
        <v>-303699713</v>
      </c>
    </row>
    <row r="251" spans="1:24" ht="54" customHeight="1" x14ac:dyDescent="0.25">
      <c r="B251" s="84"/>
      <c r="C251" s="85"/>
      <c r="D251" s="85"/>
      <c r="E251" s="85"/>
      <c r="F251" s="85"/>
      <c r="G251" s="85"/>
      <c r="H251" s="85"/>
      <c r="I251" s="85"/>
      <c r="J251" s="86"/>
      <c r="K251" s="86" t="s">
        <v>112301</v>
      </c>
      <c r="L251" s="87" t="s">
        <v>113121</v>
      </c>
      <c r="M251" s="88" t="s">
        <v>113222</v>
      </c>
      <c r="N251" s="89">
        <v>45306</v>
      </c>
      <c r="O251" s="89" t="s">
        <v>113058</v>
      </c>
      <c r="P251" s="90" t="s">
        <v>113020</v>
      </c>
      <c r="Q251" s="90" t="s">
        <v>113120</v>
      </c>
      <c r="R251" s="91">
        <f>2700000000-2700000000</f>
        <v>0</v>
      </c>
      <c r="S251" s="119"/>
      <c r="T251" s="93" t="s">
        <v>112999</v>
      </c>
      <c r="U251" s="303"/>
      <c r="V251" s="301"/>
      <c r="W251" s="301"/>
      <c r="X251" s="302">
        <f t="shared" si="11"/>
        <v>0</v>
      </c>
    </row>
    <row r="252" spans="1:24" ht="45" x14ac:dyDescent="0.25">
      <c r="B252" s="84"/>
      <c r="C252" s="85"/>
      <c r="D252" s="85"/>
      <c r="E252" s="85"/>
      <c r="F252" s="85"/>
      <c r="G252" s="85"/>
      <c r="H252" s="85"/>
      <c r="I252" s="85"/>
      <c r="J252" s="86"/>
      <c r="K252" s="86" t="s">
        <v>112301</v>
      </c>
      <c r="L252" s="87" t="s">
        <v>113122</v>
      </c>
      <c r="M252" s="88" t="s">
        <v>113223</v>
      </c>
      <c r="N252" s="89"/>
      <c r="O252" s="89"/>
      <c r="P252" s="90"/>
      <c r="Q252" s="90"/>
      <c r="R252" s="91">
        <v>225120000</v>
      </c>
      <c r="S252" s="167"/>
      <c r="T252" s="93" t="s">
        <v>112999</v>
      </c>
      <c r="U252" s="300">
        <v>1024</v>
      </c>
      <c r="V252" s="301">
        <v>225120000</v>
      </c>
      <c r="W252" s="301">
        <v>225120000</v>
      </c>
      <c r="X252" s="302">
        <f t="shared" si="11"/>
        <v>0</v>
      </c>
    </row>
    <row r="253" spans="1:24" ht="45" x14ac:dyDescent="0.25">
      <c r="B253" s="84"/>
      <c r="C253" s="85"/>
      <c r="D253" s="85"/>
      <c r="E253" s="85"/>
      <c r="F253" s="85"/>
      <c r="G253" s="85"/>
      <c r="H253" s="85"/>
      <c r="I253" s="85"/>
      <c r="J253" s="86"/>
      <c r="K253" s="86" t="s">
        <v>112301</v>
      </c>
      <c r="L253" s="87" t="s">
        <v>113122</v>
      </c>
      <c r="M253" s="88" t="s">
        <v>113224</v>
      </c>
      <c r="N253" s="89">
        <v>45397</v>
      </c>
      <c r="O253" s="89" t="s">
        <v>113084</v>
      </c>
      <c r="P253" s="90" t="s">
        <v>113066</v>
      </c>
      <c r="Q253" s="90" t="s">
        <v>113067</v>
      </c>
      <c r="R253" s="91">
        <v>225120000</v>
      </c>
      <c r="S253" s="284">
        <v>238680000</v>
      </c>
      <c r="T253" s="93" t="s">
        <v>112999</v>
      </c>
      <c r="U253" s="300">
        <v>27624</v>
      </c>
      <c r="V253" s="301">
        <v>225120000</v>
      </c>
      <c r="W253" s="301">
        <v>60000000</v>
      </c>
      <c r="X253" s="302">
        <f t="shared" si="11"/>
        <v>-165120000</v>
      </c>
    </row>
    <row r="254" spans="1:24" ht="61.5" customHeight="1" x14ac:dyDescent="0.25">
      <c r="B254" s="84"/>
      <c r="C254" s="85"/>
      <c r="D254" s="85"/>
      <c r="E254" s="85"/>
      <c r="F254" s="85"/>
      <c r="G254" s="85"/>
      <c r="H254" s="85"/>
      <c r="I254" s="85"/>
      <c r="J254" s="86"/>
      <c r="K254" s="86" t="s">
        <v>112301</v>
      </c>
      <c r="L254" s="87">
        <v>72154100</v>
      </c>
      <c r="M254" s="88" t="s">
        <v>113225</v>
      </c>
      <c r="N254" s="89"/>
      <c r="O254" s="89"/>
      <c r="P254" s="90"/>
      <c r="Q254" s="90"/>
      <c r="R254" s="91">
        <v>256940000</v>
      </c>
      <c r="S254" s="119"/>
      <c r="T254" s="93" t="s">
        <v>112999</v>
      </c>
      <c r="U254" s="300">
        <v>724</v>
      </c>
      <c r="V254" s="301">
        <v>256260000</v>
      </c>
      <c r="W254" s="301">
        <v>256260000</v>
      </c>
      <c r="X254" s="302">
        <f t="shared" si="11"/>
        <v>-680000</v>
      </c>
    </row>
    <row r="255" spans="1:24" ht="63" customHeight="1" x14ac:dyDescent="0.25">
      <c r="B255" s="84"/>
      <c r="C255" s="85"/>
      <c r="D255" s="85"/>
      <c r="E255" s="85"/>
      <c r="F255" s="85"/>
      <c r="G255" s="85"/>
      <c r="H255" s="85"/>
      <c r="I255" s="85"/>
      <c r="J255" s="86"/>
      <c r="K255" s="86" t="s">
        <v>112301</v>
      </c>
      <c r="L255" s="87">
        <v>72154100</v>
      </c>
      <c r="M255" s="88" t="s">
        <v>113226</v>
      </c>
      <c r="N255" s="89">
        <v>45397</v>
      </c>
      <c r="O255" s="89" t="s">
        <v>113084</v>
      </c>
      <c r="P255" s="90" t="s">
        <v>113066</v>
      </c>
      <c r="Q255" s="90" t="s">
        <v>113067</v>
      </c>
      <c r="R255" s="91">
        <v>256940000</v>
      </c>
      <c r="S255" s="285">
        <v>272400000</v>
      </c>
      <c r="T255" s="93" t="s">
        <v>112999</v>
      </c>
      <c r="U255" s="300">
        <v>27624</v>
      </c>
      <c r="V255" s="301">
        <v>256940000</v>
      </c>
      <c r="W255" s="301">
        <v>115200000</v>
      </c>
      <c r="X255" s="302">
        <f t="shared" si="11"/>
        <v>-141740000</v>
      </c>
    </row>
    <row r="256" spans="1:24" ht="45" x14ac:dyDescent="0.25">
      <c r="B256" s="84"/>
      <c r="C256" s="85"/>
      <c r="D256" s="85"/>
      <c r="E256" s="85"/>
      <c r="F256" s="85"/>
      <c r="G256" s="85"/>
      <c r="H256" s="85"/>
      <c r="I256" s="85"/>
      <c r="J256" s="86"/>
      <c r="K256" s="86" t="s">
        <v>112301</v>
      </c>
      <c r="L256" s="87" t="s">
        <v>113103</v>
      </c>
      <c r="M256" s="88" t="s">
        <v>113104</v>
      </c>
      <c r="N256" s="89">
        <v>45444</v>
      </c>
      <c r="O256" s="89" t="s">
        <v>112996</v>
      </c>
      <c r="P256" s="121" t="s">
        <v>113005</v>
      </c>
      <c r="Q256" s="90" t="s">
        <v>113050</v>
      </c>
      <c r="R256" s="91">
        <v>25550000</v>
      </c>
      <c r="S256" s="167"/>
      <c r="T256" s="93" t="s">
        <v>112999</v>
      </c>
      <c r="U256" s="303"/>
      <c r="V256" s="301"/>
      <c r="W256" s="301"/>
      <c r="X256" s="302">
        <f t="shared" si="11"/>
        <v>-25550000</v>
      </c>
    </row>
    <row r="257" spans="2:24" ht="45" x14ac:dyDescent="0.25">
      <c r="B257" s="84"/>
      <c r="C257" s="85"/>
      <c r="D257" s="85"/>
      <c r="E257" s="85"/>
      <c r="F257" s="85"/>
      <c r="G257" s="85"/>
      <c r="H257" s="85"/>
      <c r="I257" s="85"/>
      <c r="J257" s="86"/>
      <c r="K257" s="86" t="s">
        <v>112301</v>
      </c>
      <c r="L257" s="87">
        <v>72154100</v>
      </c>
      <c r="M257" s="88" t="s">
        <v>113172</v>
      </c>
      <c r="N257" s="89">
        <v>45474</v>
      </c>
      <c r="O257" s="89" t="s">
        <v>112996</v>
      </c>
      <c r="P257" s="121" t="s">
        <v>112997</v>
      </c>
      <c r="Q257" s="90" t="s">
        <v>113050</v>
      </c>
      <c r="R257" s="91">
        <v>30000000</v>
      </c>
      <c r="S257" s="167"/>
      <c r="T257" s="93" t="s">
        <v>112999</v>
      </c>
      <c r="U257" s="303"/>
      <c r="V257" s="301"/>
      <c r="W257" s="301"/>
      <c r="X257" s="302">
        <f t="shared" si="11"/>
        <v>-30000000</v>
      </c>
    </row>
    <row r="258" spans="2:24" x14ac:dyDescent="0.25">
      <c r="B258" s="76" t="s">
        <v>105516</v>
      </c>
      <c r="C258" s="76" t="s">
        <v>105924</v>
      </c>
      <c r="D258" s="76" t="s">
        <v>105520</v>
      </c>
      <c r="E258" s="76" t="s">
        <v>105573</v>
      </c>
      <c r="F258" s="76" t="s">
        <v>105544</v>
      </c>
      <c r="G258" s="76" t="s">
        <v>105541</v>
      </c>
      <c r="H258" s="76" t="s">
        <v>106100</v>
      </c>
      <c r="I258" s="76"/>
      <c r="J258" s="76"/>
      <c r="K258" s="76"/>
      <c r="L258" s="76"/>
      <c r="M258" s="78" t="s">
        <v>106813</v>
      </c>
      <c r="N258" s="79"/>
      <c r="O258" s="79"/>
      <c r="P258" s="80"/>
      <c r="Q258" s="80"/>
      <c r="R258" s="81">
        <f>SUM(R259:R261)</f>
        <v>124700000</v>
      </c>
      <c r="S258" s="82"/>
      <c r="T258" s="96"/>
      <c r="U258" s="79"/>
      <c r="V258" s="363"/>
      <c r="W258" s="80"/>
      <c r="X258" s="80"/>
    </row>
    <row r="259" spans="2:24" ht="38.25" customHeight="1" x14ac:dyDescent="0.25">
      <c r="B259" s="84"/>
      <c r="C259" s="85"/>
      <c r="D259" s="85"/>
      <c r="E259" s="85"/>
      <c r="F259" s="85"/>
      <c r="G259" s="85"/>
      <c r="H259" s="85"/>
      <c r="I259" s="85"/>
      <c r="J259" s="86"/>
      <c r="K259" s="86" t="s">
        <v>112301</v>
      </c>
      <c r="L259" s="51">
        <v>72101500</v>
      </c>
      <c r="M259" s="97" t="s">
        <v>113123</v>
      </c>
      <c r="N259" s="89">
        <v>45301</v>
      </c>
      <c r="O259" s="89" t="s">
        <v>113168</v>
      </c>
      <c r="P259" s="90" t="s">
        <v>113173</v>
      </c>
      <c r="Q259" s="90" t="s">
        <v>113051</v>
      </c>
      <c r="R259" s="91">
        <v>29700000</v>
      </c>
      <c r="S259" s="169"/>
      <c r="T259" s="93" t="s">
        <v>112999</v>
      </c>
      <c r="U259" s="300">
        <v>5524</v>
      </c>
      <c r="V259" s="301">
        <v>29700000</v>
      </c>
      <c r="W259" s="301">
        <v>29700000</v>
      </c>
      <c r="X259" s="302">
        <f t="shared" ref="X259:X261" si="12">W259-R259</f>
        <v>0</v>
      </c>
    </row>
    <row r="260" spans="2:24" ht="60" x14ac:dyDescent="0.25">
      <c r="B260" s="84"/>
      <c r="C260" s="85"/>
      <c r="D260" s="85"/>
      <c r="E260" s="85"/>
      <c r="F260" s="85"/>
      <c r="G260" s="85"/>
      <c r="H260" s="85"/>
      <c r="I260" s="85"/>
      <c r="J260" s="86"/>
      <c r="K260" s="86" t="s">
        <v>112301</v>
      </c>
      <c r="L260" s="87" t="s">
        <v>113124</v>
      </c>
      <c r="M260" s="97" t="s">
        <v>113247</v>
      </c>
      <c r="N260" s="89">
        <v>45364</v>
      </c>
      <c r="O260" s="89" t="s">
        <v>113004</v>
      </c>
      <c r="P260" s="90" t="s">
        <v>113026</v>
      </c>
      <c r="Q260" s="90" t="s">
        <v>113091</v>
      </c>
      <c r="R260" s="91">
        <v>95000000</v>
      </c>
      <c r="S260" s="169"/>
      <c r="T260" s="93" t="s">
        <v>113002</v>
      </c>
      <c r="U260" s="300">
        <v>6624</v>
      </c>
      <c r="V260" s="301">
        <v>95000000</v>
      </c>
      <c r="W260" s="301"/>
      <c r="X260" s="302">
        <f t="shared" si="12"/>
        <v>-95000000</v>
      </c>
    </row>
    <row r="261" spans="2:24" ht="45" x14ac:dyDescent="0.25">
      <c r="B261" s="84"/>
      <c r="C261" s="85"/>
      <c r="D261" s="85"/>
      <c r="E261" s="85"/>
      <c r="F261" s="85"/>
      <c r="G261" s="85"/>
      <c r="H261" s="85"/>
      <c r="I261" s="85"/>
      <c r="J261" s="86"/>
      <c r="K261" s="86" t="s">
        <v>112301</v>
      </c>
      <c r="L261" s="87" t="s">
        <v>113124</v>
      </c>
      <c r="M261" s="88" t="s">
        <v>113248</v>
      </c>
      <c r="N261" s="89">
        <v>44998</v>
      </c>
      <c r="O261" s="89" t="s">
        <v>113004</v>
      </c>
      <c r="P261" s="90" t="s">
        <v>113003</v>
      </c>
      <c r="Q261" s="90" t="s">
        <v>113091</v>
      </c>
      <c r="R261" s="91">
        <v>0</v>
      </c>
      <c r="S261" s="169"/>
      <c r="T261" s="93" t="s">
        <v>113002</v>
      </c>
      <c r="U261" s="303"/>
      <c r="V261" s="301"/>
      <c r="W261" s="301"/>
      <c r="X261" s="302">
        <f t="shared" si="12"/>
        <v>0</v>
      </c>
    </row>
    <row r="262" spans="2:24" x14ac:dyDescent="0.25">
      <c r="B262" s="76" t="s">
        <v>105516</v>
      </c>
      <c r="C262" s="76" t="s">
        <v>105924</v>
      </c>
      <c r="D262" s="76" t="s">
        <v>105520</v>
      </c>
      <c r="E262" s="76" t="s">
        <v>105573</v>
      </c>
      <c r="F262" s="76" t="s">
        <v>105544</v>
      </c>
      <c r="G262" s="76" t="s">
        <v>105541</v>
      </c>
      <c r="H262" s="76" t="s">
        <v>106103</v>
      </c>
      <c r="I262" s="76"/>
      <c r="J262" s="76"/>
      <c r="K262" s="76"/>
      <c r="L262" s="76"/>
      <c r="M262" s="78" t="s">
        <v>106815</v>
      </c>
      <c r="N262" s="79"/>
      <c r="O262" s="79"/>
      <c r="P262" s="80"/>
      <c r="Q262" s="80"/>
      <c r="R262" s="81">
        <f>SUM(R263:R266)</f>
        <v>1403900000</v>
      </c>
      <c r="S262" s="82"/>
      <c r="T262" s="96"/>
      <c r="U262" s="79"/>
      <c r="V262" s="363"/>
      <c r="W262" s="80"/>
      <c r="X262" s="80"/>
    </row>
    <row r="263" spans="2:24" ht="53.25" customHeight="1" x14ac:dyDescent="0.25">
      <c r="B263" s="84"/>
      <c r="C263" s="85"/>
      <c r="D263" s="85"/>
      <c r="E263" s="85"/>
      <c r="F263" s="85"/>
      <c r="G263" s="85"/>
      <c r="H263" s="85"/>
      <c r="I263" s="85"/>
      <c r="J263" s="86"/>
      <c r="K263" s="86" t="s">
        <v>112301</v>
      </c>
      <c r="L263" s="51">
        <v>72141100</v>
      </c>
      <c r="M263" s="97" t="s">
        <v>113227</v>
      </c>
      <c r="N263" s="89">
        <v>45301</v>
      </c>
      <c r="O263" s="89" t="s">
        <v>113168</v>
      </c>
      <c r="P263" s="90" t="s">
        <v>113173</v>
      </c>
      <c r="Q263" s="90" t="s">
        <v>113051</v>
      </c>
      <c r="R263" s="91">
        <v>15600000</v>
      </c>
      <c r="S263" s="169"/>
      <c r="T263" s="93" t="s">
        <v>112999</v>
      </c>
      <c r="U263" s="303"/>
      <c r="V263" s="301"/>
      <c r="W263" s="301"/>
      <c r="X263" s="302">
        <f t="shared" ref="X263:X266" si="13">W263-R263</f>
        <v>-15600000</v>
      </c>
    </row>
    <row r="264" spans="2:24" ht="45" x14ac:dyDescent="0.25">
      <c r="B264" s="84"/>
      <c r="C264" s="85"/>
      <c r="D264" s="85"/>
      <c r="E264" s="85"/>
      <c r="F264" s="85"/>
      <c r="G264" s="85"/>
      <c r="H264" s="85"/>
      <c r="I264" s="85"/>
      <c r="J264" s="86"/>
      <c r="K264" s="86" t="s">
        <v>112301</v>
      </c>
      <c r="L264" s="51">
        <v>72101500</v>
      </c>
      <c r="M264" s="97" t="s">
        <v>113125</v>
      </c>
      <c r="N264" s="89">
        <v>45301</v>
      </c>
      <c r="O264" s="89" t="s">
        <v>113168</v>
      </c>
      <c r="P264" s="90" t="s">
        <v>113173</v>
      </c>
      <c r="Q264" s="90" t="s">
        <v>113051</v>
      </c>
      <c r="R264" s="91">
        <v>302500000</v>
      </c>
      <c r="S264" s="169"/>
      <c r="T264" s="93" t="s">
        <v>112999</v>
      </c>
      <c r="U264" s="300">
        <v>5724</v>
      </c>
      <c r="V264" s="301">
        <v>302500000</v>
      </c>
      <c r="W264" s="301">
        <v>297500000</v>
      </c>
      <c r="X264" s="302">
        <f t="shared" si="13"/>
        <v>-5000000</v>
      </c>
    </row>
    <row r="265" spans="2:24" ht="45" x14ac:dyDescent="0.25">
      <c r="B265" s="84"/>
      <c r="C265" s="85"/>
      <c r="D265" s="85"/>
      <c r="E265" s="85"/>
      <c r="F265" s="85"/>
      <c r="G265" s="85"/>
      <c r="H265" s="85"/>
      <c r="I265" s="85"/>
      <c r="J265" s="86"/>
      <c r="K265" s="86" t="s">
        <v>112301</v>
      </c>
      <c r="L265" s="51">
        <v>72101500</v>
      </c>
      <c r="M265" s="97" t="s">
        <v>113126</v>
      </c>
      <c r="N265" s="89">
        <v>45301</v>
      </c>
      <c r="O265" s="89" t="s">
        <v>113058</v>
      </c>
      <c r="P265" s="90" t="s">
        <v>113009</v>
      </c>
      <c r="Q265" s="90" t="s">
        <v>113051</v>
      </c>
      <c r="R265" s="91">
        <v>85800000</v>
      </c>
      <c r="S265" s="169"/>
      <c r="T265" s="93" t="s">
        <v>112999</v>
      </c>
      <c r="U265" s="300">
        <v>5824</v>
      </c>
      <c r="V265" s="301">
        <v>85800000</v>
      </c>
      <c r="W265" s="301">
        <v>85800000</v>
      </c>
      <c r="X265" s="302">
        <f t="shared" si="13"/>
        <v>0</v>
      </c>
    </row>
    <row r="266" spans="2:24" ht="48.75" customHeight="1" x14ac:dyDescent="0.25">
      <c r="B266" s="84"/>
      <c r="C266" s="85"/>
      <c r="D266" s="85"/>
      <c r="E266" s="85"/>
      <c r="F266" s="85"/>
      <c r="G266" s="85"/>
      <c r="H266" s="85"/>
      <c r="I266" s="85"/>
      <c r="J266" s="86"/>
      <c r="K266" s="86" t="s">
        <v>112301</v>
      </c>
      <c r="L266" s="87">
        <v>72101500</v>
      </c>
      <c r="M266" s="97" t="s">
        <v>113127</v>
      </c>
      <c r="N266" s="89">
        <v>45301</v>
      </c>
      <c r="O266" s="89" t="s">
        <v>113058</v>
      </c>
      <c r="P266" s="90" t="s">
        <v>113009</v>
      </c>
      <c r="Q266" s="90" t="s">
        <v>113051</v>
      </c>
      <c r="R266" s="91">
        <v>1000000000</v>
      </c>
      <c r="S266" s="169"/>
      <c r="T266" s="93" t="s">
        <v>112999</v>
      </c>
      <c r="U266" s="300">
        <v>14924</v>
      </c>
      <c r="V266" s="301">
        <v>1000000000</v>
      </c>
      <c r="W266" s="301">
        <v>574200000</v>
      </c>
      <c r="X266" s="302">
        <f t="shared" si="13"/>
        <v>-425800000</v>
      </c>
    </row>
    <row r="267" spans="2:24" ht="76.5" customHeight="1" x14ac:dyDescent="0.25">
      <c r="B267" s="170" t="s">
        <v>105516</v>
      </c>
      <c r="C267" s="170" t="s">
        <v>105924</v>
      </c>
      <c r="D267" s="170" t="s">
        <v>105520</v>
      </c>
      <c r="E267" s="170" t="s">
        <v>105573</v>
      </c>
      <c r="F267" s="170" t="s">
        <v>105547</v>
      </c>
      <c r="G267" s="170"/>
      <c r="H267" s="170"/>
      <c r="I267" s="170"/>
      <c r="J267" s="170"/>
      <c r="K267" s="171"/>
      <c r="L267" s="61"/>
      <c r="M267" s="62" t="s">
        <v>113327</v>
      </c>
      <c r="N267" s="63"/>
      <c r="O267" s="172"/>
      <c r="P267" s="64"/>
      <c r="Q267" s="64"/>
      <c r="R267" s="65">
        <f>+R268</f>
        <v>3400000</v>
      </c>
      <c r="S267" s="66"/>
      <c r="T267" s="67"/>
      <c r="U267" s="63" t="s">
        <v>112994</v>
      </c>
      <c r="V267" s="361" t="s">
        <v>112994</v>
      </c>
      <c r="W267" s="64"/>
      <c r="X267" s="64"/>
    </row>
    <row r="268" spans="2:24" x14ac:dyDescent="0.25">
      <c r="B268" s="339" t="s">
        <v>105516</v>
      </c>
      <c r="C268" s="339" t="s">
        <v>105924</v>
      </c>
      <c r="D268" s="339" t="s">
        <v>105520</v>
      </c>
      <c r="E268" s="339" t="s">
        <v>105573</v>
      </c>
      <c r="F268" s="339" t="s">
        <v>105547</v>
      </c>
      <c r="G268" s="339" t="s">
        <v>105550</v>
      </c>
      <c r="H268" s="173"/>
      <c r="I268" s="173"/>
      <c r="J268" s="173"/>
      <c r="K268" s="174"/>
      <c r="L268" s="155"/>
      <c r="M268" s="156" t="s">
        <v>106841</v>
      </c>
      <c r="N268" s="157"/>
      <c r="O268" s="157"/>
      <c r="P268" s="158"/>
      <c r="Q268" s="158"/>
      <c r="R268" s="159">
        <f>+R269</f>
        <v>3400000</v>
      </c>
      <c r="S268" s="160"/>
      <c r="T268" s="161"/>
      <c r="U268" s="157"/>
      <c r="V268" s="386"/>
      <c r="W268" s="158"/>
      <c r="X268" s="158"/>
    </row>
    <row r="269" spans="2:24" x14ac:dyDescent="0.25">
      <c r="B269" s="77" t="s">
        <v>105516</v>
      </c>
      <c r="C269" s="77" t="s">
        <v>105924</v>
      </c>
      <c r="D269" s="77" t="s">
        <v>105520</v>
      </c>
      <c r="E269" s="77" t="s">
        <v>105573</v>
      </c>
      <c r="F269" s="77" t="s">
        <v>105547</v>
      </c>
      <c r="G269" s="77" t="s">
        <v>105550</v>
      </c>
      <c r="H269" s="77" t="s">
        <v>105520</v>
      </c>
      <c r="I269" s="77"/>
      <c r="J269" s="77"/>
      <c r="K269" s="77"/>
      <c r="L269" s="76"/>
      <c r="M269" s="78" t="s">
        <v>106843</v>
      </c>
      <c r="N269" s="79"/>
      <c r="O269" s="79"/>
      <c r="P269" s="80"/>
      <c r="Q269" s="80"/>
      <c r="R269" s="81">
        <f>+R270</f>
        <v>3400000</v>
      </c>
      <c r="S269" s="82"/>
      <c r="T269" s="83"/>
      <c r="U269" s="79"/>
      <c r="V269" s="363"/>
      <c r="W269" s="80"/>
      <c r="X269" s="80"/>
    </row>
    <row r="270" spans="2:24" ht="30" x14ac:dyDescent="0.25">
      <c r="B270" s="84"/>
      <c r="C270" s="85"/>
      <c r="D270" s="85"/>
      <c r="E270" s="85"/>
      <c r="F270" s="85"/>
      <c r="G270" s="85"/>
      <c r="H270" s="85"/>
      <c r="I270" s="85"/>
      <c r="J270" s="86"/>
      <c r="K270" s="86" t="s">
        <v>112476</v>
      </c>
      <c r="L270" s="51">
        <v>78121600</v>
      </c>
      <c r="M270" s="97" t="s">
        <v>113128</v>
      </c>
      <c r="N270" s="89">
        <v>45301</v>
      </c>
      <c r="O270" s="89" t="s">
        <v>113168</v>
      </c>
      <c r="P270" s="90" t="s">
        <v>113009</v>
      </c>
      <c r="Q270" s="90" t="s">
        <v>113051</v>
      </c>
      <c r="R270" s="91">
        <f>25300000-1400000-20500000</f>
        <v>3400000</v>
      </c>
      <c r="S270" s="175"/>
      <c r="T270" s="93" t="s">
        <v>112999</v>
      </c>
      <c r="U270" s="303"/>
      <c r="V270" s="301"/>
      <c r="W270" s="93"/>
      <c r="X270" s="302">
        <f>W270-R270</f>
        <v>-3400000</v>
      </c>
    </row>
    <row r="271" spans="2:24" ht="30" x14ac:dyDescent="0.25">
      <c r="B271" s="59" t="s">
        <v>105516</v>
      </c>
      <c r="C271" s="59" t="s">
        <v>105924</v>
      </c>
      <c r="D271" s="59" t="s">
        <v>105520</v>
      </c>
      <c r="E271" s="59" t="s">
        <v>105573</v>
      </c>
      <c r="F271" s="59" t="s">
        <v>105550</v>
      </c>
      <c r="G271" s="59"/>
      <c r="H271" s="59"/>
      <c r="I271" s="59"/>
      <c r="J271" s="59"/>
      <c r="K271" s="60"/>
      <c r="L271" s="61"/>
      <c r="M271" s="62" t="s">
        <v>113324</v>
      </c>
      <c r="N271" s="63"/>
      <c r="O271" s="172"/>
      <c r="P271" s="64"/>
      <c r="Q271" s="64"/>
      <c r="R271" s="65">
        <f>+R272+R279</f>
        <v>922871487</v>
      </c>
      <c r="S271" s="66"/>
      <c r="T271" s="67"/>
      <c r="U271" s="63" t="s">
        <v>112994</v>
      </c>
      <c r="V271" s="361" t="s">
        <v>112994</v>
      </c>
      <c r="W271" s="64"/>
      <c r="X271" s="64"/>
    </row>
    <row r="272" spans="2:24" x14ac:dyDescent="0.25">
      <c r="B272" s="338" t="s">
        <v>105516</v>
      </c>
      <c r="C272" s="338" t="s">
        <v>105924</v>
      </c>
      <c r="D272" s="338" t="s">
        <v>105520</v>
      </c>
      <c r="E272" s="338" t="s">
        <v>105573</v>
      </c>
      <c r="F272" s="338" t="s">
        <v>105550</v>
      </c>
      <c r="G272" s="339" t="s">
        <v>105528</v>
      </c>
      <c r="H272" s="154"/>
      <c r="I272" s="154"/>
      <c r="J272" s="154"/>
      <c r="K272" s="155"/>
      <c r="L272" s="155"/>
      <c r="M272" s="156" t="s">
        <v>106867</v>
      </c>
      <c r="N272" s="157"/>
      <c r="O272" s="157"/>
      <c r="P272" s="158"/>
      <c r="Q272" s="158"/>
      <c r="R272" s="159">
        <f>R273</f>
        <v>786300287</v>
      </c>
      <c r="S272" s="160"/>
      <c r="T272" s="161"/>
      <c r="U272" s="157"/>
      <c r="V272" s="386"/>
      <c r="W272" s="158"/>
      <c r="X272" s="158"/>
    </row>
    <row r="273" spans="2:24" ht="30" x14ac:dyDescent="0.25">
      <c r="B273" s="77" t="s">
        <v>105516</v>
      </c>
      <c r="C273" s="77" t="s">
        <v>105924</v>
      </c>
      <c r="D273" s="77" t="s">
        <v>105520</v>
      </c>
      <c r="E273" s="77" t="s">
        <v>105573</v>
      </c>
      <c r="F273" s="77" t="s">
        <v>105550</v>
      </c>
      <c r="G273" s="77" t="s">
        <v>105528</v>
      </c>
      <c r="H273" s="77" t="s">
        <v>105675</v>
      </c>
      <c r="I273" s="77"/>
      <c r="J273" s="77"/>
      <c r="K273" s="77"/>
      <c r="L273" s="76"/>
      <c r="M273" s="78" t="s">
        <v>113332</v>
      </c>
      <c r="N273" s="79"/>
      <c r="O273" s="79"/>
      <c r="P273" s="80"/>
      <c r="Q273" s="80"/>
      <c r="R273" s="81">
        <f>R274+R276</f>
        <v>786300287</v>
      </c>
      <c r="S273" s="82"/>
      <c r="T273" s="83"/>
      <c r="U273" s="79"/>
      <c r="V273" s="363"/>
      <c r="W273" s="80"/>
      <c r="X273" s="80"/>
    </row>
    <row r="274" spans="2:24" ht="45" x14ac:dyDescent="0.25">
      <c r="B274" s="77" t="s">
        <v>105516</v>
      </c>
      <c r="C274" s="77" t="s">
        <v>105924</v>
      </c>
      <c r="D274" s="77" t="s">
        <v>105520</v>
      </c>
      <c r="E274" s="77" t="s">
        <v>105573</v>
      </c>
      <c r="F274" s="77" t="s">
        <v>105550</v>
      </c>
      <c r="G274" s="77" t="s">
        <v>105528</v>
      </c>
      <c r="H274" s="77" t="s">
        <v>105675</v>
      </c>
      <c r="I274" s="77" t="s">
        <v>106211</v>
      </c>
      <c r="J274" s="77"/>
      <c r="K274" s="77"/>
      <c r="L274" s="76"/>
      <c r="M274" s="78" t="s">
        <v>113337</v>
      </c>
      <c r="N274" s="79"/>
      <c r="O274" s="79"/>
      <c r="P274" s="80"/>
      <c r="Q274" s="80"/>
      <c r="R274" s="81">
        <f>+R275</f>
        <v>75000000</v>
      </c>
      <c r="S274" s="82"/>
      <c r="T274" s="83"/>
      <c r="U274" s="79"/>
      <c r="V274" s="363"/>
      <c r="W274" s="80"/>
      <c r="X274" s="80"/>
    </row>
    <row r="275" spans="2:24" ht="30" x14ac:dyDescent="0.25">
      <c r="B275" s="176"/>
      <c r="C275" s="177"/>
      <c r="D275" s="177"/>
      <c r="E275" s="177"/>
      <c r="F275" s="177"/>
      <c r="G275" s="177"/>
      <c r="H275" s="177"/>
      <c r="I275" s="177"/>
      <c r="J275" s="178"/>
      <c r="K275" s="86" t="s">
        <v>112489</v>
      </c>
      <c r="L275" s="51"/>
      <c r="M275" s="97" t="s">
        <v>113129</v>
      </c>
      <c r="N275" s="89" t="s">
        <v>113029</v>
      </c>
      <c r="O275" s="89" t="s">
        <v>113029</v>
      </c>
      <c r="P275" s="89" t="s">
        <v>113029</v>
      </c>
      <c r="Q275" s="89" t="s">
        <v>113029</v>
      </c>
      <c r="R275" s="91">
        <v>75000000</v>
      </c>
      <c r="S275" s="92"/>
      <c r="T275" s="93" t="s">
        <v>112999</v>
      </c>
      <c r="U275" s="300">
        <v>15224</v>
      </c>
      <c r="V275" s="301">
        <v>75000000</v>
      </c>
      <c r="W275" s="301">
        <f>14310413+5436459</f>
        <v>19746872</v>
      </c>
      <c r="X275" s="302">
        <f>W275-R275</f>
        <v>-55253128</v>
      </c>
    </row>
    <row r="276" spans="2:24" ht="30" x14ac:dyDescent="0.25">
      <c r="B276" s="76" t="s">
        <v>105516</v>
      </c>
      <c r="C276" s="77" t="s">
        <v>105924</v>
      </c>
      <c r="D276" s="77" t="s">
        <v>105520</v>
      </c>
      <c r="E276" s="77" t="s">
        <v>105573</v>
      </c>
      <c r="F276" s="77" t="s">
        <v>105550</v>
      </c>
      <c r="G276" s="77" t="s">
        <v>105528</v>
      </c>
      <c r="H276" s="76" t="s">
        <v>105675</v>
      </c>
      <c r="I276" s="76" t="s">
        <v>106217</v>
      </c>
      <c r="J276" s="76"/>
      <c r="K276" s="76"/>
      <c r="L276" s="76"/>
      <c r="M276" s="78" t="s">
        <v>106892</v>
      </c>
      <c r="N276" s="79"/>
      <c r="O276" s="79"/>
      <c r="P276" s="80"/>
      <c r="Q276" s="80"/>
      <c r="R276" s="81">
        <f>R277</f>
        <v>711300287</v>
      </c>
      <c r="S276" s="82"/>
      <c r="T276" s="96"/>
      <c r="U276" s="79"/>
      <c r="V276" s="363"/>
      <c r="W276" s="80"/>
      <c r="X276" s="80"/>
    </row>
    <row r="277" spans="2:24" ht="30" x14ac:dyDescent="0.25">
      <c r="B277" s="76" t="s">
        <v>105516</v>
      </c>
      <c r="C277" s="77" t="s">
        <v>105924</v>
      </c>
      <c r="D277" s="77" t="s">
        <v>105520</v>
      </c>
      <c r="E277" s="77" t="s">
        <v>105573</v>
      </c>
      <c r="F277" s="77" t="s">
        <v>105550</v>
      </c>
      <c r="G277" s="77" t="s">
        <v>105528</v>
      </c>
      <c r="H277" s="76" t="s">
        <v>105675</v>
      </c>
      <c r="I277" s="76" t="s">
        <v>106217</v>
      </c>
      <c r="J277" s="76" t="s">
        <v>105917</v>
      </c>
      <c r="K277" s="76"/>
      <c r="L277" s="76"/>
      <c r="M277" s="78" t="s">
        <v>106900</v>
      </c>
      <c r="N277" s="79"/>
      <c r="O277" s="79"/>
      <c r="P277" s="80"/>
      <c r="Q277" s="80"/>
      <c r="R277" s="81">
        <f>R278</f>
        <v>711300287</v>
      </c>
      <c r="S277" s="82"/>
      <c r="T277" s="96"/>
      <c r="U277" s="79"/>
      <c r="V277" s="363"/>
      <c r="W277" s="80"/>
      <c r="X277" s="80"/>
    </row>
    <row r="278" spans="2:24" ht="30" x14ac:dyDescent="0.25">
      <c r="B278" s="84"/>
      <c r="C278" s="85"/>
      <c r="D278" s="85"/>
      <c r="E278" s="85"/>
      <c r="F278" s="85"/>
      <c r="G278" s="85"/>
      <c r="H278" s="85"/>
      <c r="I278" s="85"/>
      <c r="J278" s="86"/>
      <c r="K278" s="85" t="s">
        <v>106866</v>
      </c>
      <c r="L278" s="187" t="s">
        <v>113065</v>
      </c>
      <c r="M278" s="97" t="s">
        <v>106900</v>
      </c>
      <c r="N278" s="114">
        <v>45536</v>
      </c>
      <c r="O278" s="89" t="s">
        <v>113075</v>
      </c>
      <c r="P278" s="121" t="s">
        <v>113043</v>
      </c>
      <c r="Q278" s="121" t="s">
        <v>113067</v>
      </c>
      <c r="R278" s="320">
        <v>711300287</v>
      </c>
      <c r="S278" s="91"/>
      <c r="T278" s="93" t="s">
        <v>112999</v>
      </c>
      <c r="U278" s="303"/>
      <c r="V278" s="301"/>
      <c r="W278" s="301"/>
      <c r="X278" s="302">
        <f>W278-R278</f>
        <v>-711300287</v>
      </c>
    </row>
    <row r="279" spans="2:24" x14ac:dyDescent="0.25">
      <c r="B279" s="338" t="s">
        <v>105516</v>
      </c>
      <c r="C279" s="338" t="s">
        <v>105924</v>
      </c>
      <c r="D279" s="338" t="s">
        <v>105520</v>
      </c>
      <c r="E279" s="338" t="s">
        <v>105573</v>
      </c>
      <c r="F279" s="338" t="s">
        <v>105550</v>
      </c>
      <c r="G279" s="338" t="s">
        <v>105535</v>
      </c>
      <c r="H279" s="154"/>
      <c r="I279" s="154"/>
      <c r="J279" s="154"/>
      <c r="K279" s="155"/>
      <c r="L279" s="155"/>
      <c r="M279" s="156" t="s">
        <v>106948</v>
      </c>
      <c r="N279" s="157"/>
      <c r="O279" s="157"/>
      <c r="P279" s="158"/>
      <c r="Q279" s="158"/>
      <c r="R279" s="159">
        <f>+R280</f>
        <v>136571200</v>
      </c>
      <c r="S279" s="160"/>
      <c r="T279" s="161"/>
      <c r="U279" s="157"/>
      <c r="V279" s="386"/>
      <c r="W279" s="158"/>
      <c r="X279" s="158"/>
    </row>
    <row r="280" spans="2:24" ht="30" x14ac:dyDescent="0.25">
      <c r="B280" s="77" t="s">
        <v>105516</v>
      </c>
      <c r="C280" s="77" t="s">
        <v>105924</v>
      </c>
      <c r="D280" s="77" t="s">
        <v>105520</v>
      </c>
      <c r="E280" s="77" t="s">
        <v>105573</v>
      </c>
      <c r="F280" s="77" t="s">
        <v>105550</v>
      </c>
      <c r="G280" s="77" t="s">
        <v>105535</v>
      </c>
      <c r="H280" s="77" t="s">
        <v>105520</v>
      </c>
      <c r="I280" s="76"/>
      <c r="J280" s="76"/>
      <c r="K280" s="76"/>
      <c r="L280" s="76"/>
      <c r="M280" s="78" t="s">
        <v>106950</v>
      </c>
      <c r="N280" s="79"/>
      <c r="O280" s="79"/>
      <c r="P280" s="80"/>
      <c r="Q280" s="80"/>
      <c r="R280" s="81">
        <f>+R281</f>
        <v>136571200</v>
      </c>
      <c r="S280" s="82"/>
      <c r="T280" s="96"/>
      <c r="U280" s="79"/>
      <c r="V280" s="363"/>
      <c r="W280" s="80"/>
      <c r="X280" s="80"/>
    </row>
    <row r="281" spans="2:24" ht="50.25" customHeight="1" x14ac:dyDescent="0.25">
      <c r="B281" s="77" t="s">
        <v>105516</v>
      </c>
      <c r="C281" s="77" t="s">
        <v>105924</v>
      </c>
      <c r="D281" s="77" t="s">
        <v>105520</v>
      </c>
      <c r="E281" s="77" t="s">
        <v>105573</v>
      </c>
      <c r="F281" s="77" t="s">
        <v>105550</v>
      </c>
      <c r="G281" s="77" t="s">
        <v>105535</v>
      </c>
      <c r="H281" s="76" t="s">
        <v>105520</v>
      </c>
      <c r="I281" s="76" t="s">
        <v>105576</v>
      </c>
      <c r="J281" s="76"/>
      <c r="K281" s="76"/>
      <c r="L281" s="76"/>
      <c r="M281" s="78" t="s">
        <v>106952</v>
      </c>
      <c r="N281" s="79"/>
      <c r="O281" s="79"/>
      <c r="P281" s="80"/>
      <c r="Q281" s="80"/>
      <c r="R281" s="81">
        <f>+R282</f>
        <v>136571200</v>
      </c>
      <c r="S281" s="82"/>
      <c r="T281" s="96"/>
      <c r="U281" s="79"/>
      <c r="V281" s="363"/>
      <c r="W281" s="80"/>
      <c r="X281" s="80"/>
    </row>
    <row r="282" spans="2:24" ht="20.25" customHeight="1" x14ac:dyDescent="0.25">
      <c r="B282" s="176"/>
      <c r="C282" s="177"/>
      <c r="D282" s="177"/>
      <c r="E282" s="177"/>
      <c r="F282" s="177"/>
      <c r="G282" s="177"/>
      <c r="H282" s="177"/>
      <c r="I282" s="177"/>
      <c r="J282" s="178"/>
      <c r="K282" s="86" t="s">
        <v>112528</v>
      </c>
      <c r="L282" s="51"/>
      <c r="M282" s="88" t="s">
        <v>113130</v>
      </c>
      <c r="N282" s="89">
        <v>45293</v>
      </c>
      <c r="O282" s="89" t="s">
        <v>113058</v>
      </c>
      <c r="P282" s="121" t="s">
        <v>113066</v>
      </c>
      <c r="Q282" s="89" t="s">
        <v>113029</v>
      </c>
      <c r="R282" s="91">
        <f>122931200+1400000+12240000</f>
        <v>136571200</v>
      </c>
      <c r="S282" s="92"/>
      <c r="T282" s="93" t="s">
        <v>113062</v>
      </c>
      <c r="U282" s="304" t="s">
        <v>113357</v>
      </c>
      <c r="V282" s="301">
        <f>124296000+12240000</f>
        <v>136536000</v>
      </c>
      <c r="W282" s="301">
        <f>124296000+12240000</f>
        <v>136536000</v>
      </c>
      <c r="X282" s="302">
        <f>R282-W282</f>
        <v>35200</v>
      </c>
    </row>
    <row r="283" spans="2:24" ht="30" x14ac:dyDescent="0.25">
      <c r="B283" s="59" t="s">
        <v>105516</v>
      </c>
      <c r="C283" s="59" t="s">
        <v>105924</v>
      </c>
      <c r="D283" s="59" t="s">
        <v>105520</v>
      </c>
      <c r="E283" s="59" t="s">
        <v>105573</v>
      </c>
      <c r="F283" s="59" t="s">
        <v>105553</v>
      </c>
      <c r="G283" s="59"/>
      <c r="H283" s="59"/>
      <c r="I283" s="59"/>
      <c r="J283" s="59"/>
      <c r="K283" s="60"/>
      <c r="L283" s="61"/>
      <c r="M283" s="62" t="s">
        <v>106978</v>
      </c>
      <c r="N283" s="63"/>
      <c r="O283" s="63"/>
      <c r="P283" s="64"/>
      <c r="Q283" s="64"/>
      <c r="R283" s="65">
        <f>+R284+R294+R307</f>
        <v>2735132800</v>
      </c>
      <c r="S283" s="66"/>
      <c r="T283" s="67"/>
      <c r="U283" s="63" t="s">
        <v>112994</v>
      </c>
      <c r="V283" s="361" t="s">
        <v>112994</v>
      </c>
      <c r="W283" s="64"/>
      <c r="X283" s="64"/>
    </row>
    <row r="284" spans="2:24" ht="45" x14ac:dyDescent="0.25">
      <c r="B284" s="338" t="s">
        <v>105516</v>
      </c>
      <c r="C284" s="338" t="s">
        <v>105924</v>
      </c>
      <c r="D284" s="338" t="s">
        <v>105520</v>
      </c>
      <c r="E284" s="338" t="s">
        <v>105573</v>
      </c>
      <c r="F284" s="338" t="s">
        <v>105553</v>
      </c>
      <c r="G284" s="338" t="s">
        <v>105538</v>
      </c>
      <c r="H284" s="154"/>
      <c r="I284" s="154"/>
      <c r="J284" s="154"/>
      <c r="K284" s="155"/>
      <c r="L284" s="155"/>
      <c r="M284" s="156" t="s">
        <v>113328</v>
      </c>
      <c r="N284" s="157"/>
      <c r="O284" s="157"/>
      <c r="P284" s="158"/>
      <c r="Q284" s="158"/>
      <c r="R284" s="159">
        <f>+R285</f>
        <v>171000000</v>
      </c>
      <c r="S284" s="160"/>
      <c r="T284" s="161"/>
      <c r="U284" s="157"/>
      <c r="V284" s="386"/>
      <c r="W284" s="158"/>
      <c r="X284" s="158"/>
    </row>
    <row r="285" spans="2:24" ht="30" x14ac:dyDescent="0.25">
      <c r="B285" s="76" t="s">
        <v>105516</v>
      </c>
      <c r="C285" s="76" t="s">
        <v>105924</v>
      </c>
      <c r="D285" s="76" t="s">
        <v>105520</v>
      </c>
      <c r="E285" s="76" t="s">
        <v>105573</v>
      </c>
      <c r="F285" s="76" t="s">
        <v>105553</v>
      </c>
      <c r="G285" s="76" t="s">
        <v>105538</v>
      </c>
      <c r="H285" s="76" t="s">
        <v>105520</v>
      </c>
      <c r="I285" s="76"/>
      <c r="J285" s="76"/>
      <c r="K285" s="76"/>
      <c r="L285" s="76"/>
      <c r="M285" s="78" t="s">
        <v>107000</v>
      </c>
      <c r="N285" s="79"/>
      <c r="O285" s="79"/>
      <c r="P285" s="80"/>
      <c r="Q285" s="80"/>
      <c r="R285" s="81">
        <f>+R286</f>
        <v>171000000</v>
      </c>
      <c r="S285" s="82"/>
      <c r="T285" s="96"/>
      <c r="U285" s="79"/>
      <c r="V285" s="363"/>
      <c r="W285" s="80"/>
      <c r="X285" s="80"/>
    </row>
    <row r="286" spans="2:24" ht="30" x14ac:dyDescent="0.25">
      <c r="B286" s="76" t="s">
        <v>105516</v>
      </c>
      <c r="C286" s="76" t="s">
        <v>105924</v>
      </c>
      <c r="D286" s="76" t="s">
        <v>105520</v>
      </c>
      <c r="E286" s="76" t="s">
        <v>105573</v>
      </c>
      <c r="F286" s="76" t="s">
        <v>105553</v>
      </c>
      <c r="G286" s="76" t="s">
        <v>105538</v>
      </c>
      <c r="H286" s="76" t="s">
        <v>105520</v>
      </c>
      <c r="I286" s="76" t="s">
        <v>105576</v>
      </c>
      <c r="J286" s="76"/>
      <c r="K286" s="76"/>
      <c r="L286" s="76"/>
      <c r="M286" s="78" t="s">
        <v>107002</v>
      </c>
      <c r="N286" s="79"/>
      <c r="O286" s="79"/>
      <c r="P286" s="80"/>
      <c r="Q286" s="80"/>
      <c r="R286" s="81">
        <f>SUM(R287:R293)</f>
        <v>171000000</v>
      </c>
      <c r="S286" s="82"/>
      <c r="T286" s="96"/>
      <c r="U286" s="79"/>
      <c r="V286" s="363"/>
      <c r="W286" s="80"/>
      <c r="X286" s="80"/>
    </row>
    <row r="287" spans="2:24" ht="60" x14ac:dyDescent="0.25">
      <c r="B287" s="84"/>
      <c r="C287" s="85"/>
      <c r="D287" s="85"/>
      <c r="E287" s="85"/>
      <c r="F287" s="85"/>
      <c r="G287" s="85"/>
      <c r="H287" s="85"/>
      <c r="I287" s="85"/>
      <c r="J287" s="86"/>
      <c r="K287" s="86" t="s">
        <v>112567</v>
      </c>
      <c r="L287" s="87" t="s">
        <v>113215</v>
      </c>
      <c r="M287" s="97" t="s">
        <v>113216</v>
      </c>
      <c r="N287" s="89">
        <v>45536</v>
      </c>
      <c r="O287" s="89" t="s">
        <v>113075</v>
      </c>
      <c r="P287" s="90" t="s">
        <v>113005</v>
      </c>
      <c r="Q287" s="90" t="s">
        <v>113105</v>
      </c>
      <c r="R287" s="91">
        <v>35000000</v>
      </c>
      <c r="S287" s="92"/>
      <c r="T287" s="93" t="s">
        <v>113017</v>
      </c>
      <c r="U287" s="303"/>
      <c r="V287" s="301"/>
      <c r="W287" s="301"/>
      <c r="X287" s="302">
        <f t="shared" ref="X287:X293" si="14">W287-R287</f>
        <v>-35000000</v>
      </c>
    </row>
    <row r="288" spans="2:24" ht="75" x14ac:dyDescent="0.25">
      <c r="B288" s="124"/>
      <c r="C288" s="125"/>
      <c r="D288" s="125"/>
      <c r="E288" s="125"/>
      <c r="F288" s="125"/>
      <c r="G288" s="125"/>
      <c r="H288" s="125"/>
      <c r="I288" s="125"/>
      <c r="J288" s="126"/>
      <c r="K288" s="126" t="s">
        <v>112567</v>
      </c>
      <c r="L288" s="87">
        <v>80101500</v>
      </c>
      <c r="M288" s="88" t="s">
        <v>113132</v>
      </c>
      <c r="N288" s="89">
        <v>45323</v>
      </c>
      <c r="O288" s="89" t="s">
        <v>113035</v>
      </c>
      <c r="P288" s="90" t="s">
        <v>113009</v>
      </c>
      <c r="Q288" s="121" t="s">
        <v>113069</v>
      </c>
      <c r="R288" s="91">
        <v>35200000</v>
      </c>
      <c r="S288" s="92"/>
      <c r="T288" s="93" t="s">
        <v>113017</v>
      </c>
      <c r="U288" s="300">
        <v>14124</v>
      </c>
      <c r="V288" s="301">
        <v>35200000</v>
      </c>
      <c r="W288" s="301">
        <v>16000000</v>
      </c>
      <c r="X288" s="302">
        <f t="shared" si="14"/>
        <v>-19200000</v>
      </c>
    </row>
    <row r="289" spans="1:24" ht="45" x14ac:dyDescent="0.25">
      <c r="B289" s="124"/>
      <c r="C289" s="125"/>
      <c r="D289" s="125"/>
      <c r="E289" s="125"/>
      <c r="F289" s="125"/>
      <c r="G289" s="125"/>
      <c r="H289" s="125"/>
      <c r="I289" s="125"/>
      <c r="J289" s="126"/>
      <c r="K289" s="126"/>
      <c r="L289" s="87">
        <v>80161500</v>
      </c>
      <c r="M289" s="88" t="s">
        <v>113311</v>
      </c>
      <c r="N289" s="89">
        <v>45384</v>
      </c>
      <c r="O289" s="89" t="s">
        <v>113004</v>
      </c>
      <c r="P289" s="90" t="s">
        <v>113137</v>
      </c>
      <c r="Q289" s="121" t="s">
        <v>113051</v>
      </c>
      <c r="R289" s="91">
        <f>20500000-20500000</f>
        <v>0</v>
      </c>
      <c r="S289" s="92"/>
      <c r="T289" s="93" t="s">
        <v>113052</v>
      </c>
      <c r="U289" s="303"/>
      <c r="V289" s="301"/>
      <c r="W289" s="301"/>
      <c r="X289" s="302">
        <f t="shared" ref="X289" si="15">W289-R289</f>
        <v>0</v>
      </c>
    </row>
    <row r="290" spans="1:24" ht="93.75" customHeight="1" x14ac:dyDescent="0.25">
      <c r="B290" s="124"/>
      <c r="C290" s="125"/>
      <c r="D290" s="125"/>
      <c r="E290" s="125"/>
      <c r="F290" s="125"/>
      <c r="G290" s="125"/>
      <c r="H290" s="125"/>
      <c r="I290" s="125"/>
      <c r="J290" s="126"/>
      <c r="K290" s="126"/>
      <c r="L290" s="87">
        <v>80161500</v>
      </c>
      <c r="M290" s="88" t="s">
        <v>113346</v>
      </c>
      <c r="N290" s="89">
        <v>45447</v>
      </c>
      <c r="O290" s="89" t="s">
        <v>113171</v>
      </c>
      <c r="P290" s="90" t="s">
        <v>113001</v>
      </c>
      <c r="Q290" s="90" t="s">
        <v>113069</v>
      </c>
      <c r="R290" s="91">
        <v>20500000</v>
      </c>
      <c r="S290" s="92"/>
      <c r="T290" s="93" t="s">
        <v>113027</v>
      </c>
      <c r="U290" s="300">
        <v>63624</v>
      </c>
      <c r="V290" s="301">
        <v>18133333.329999998</v>
      </c>
      <c r="W290" s="301"/>
      <c r="X290" s="302">
        <f t="shared" si="14"/>
        <v>-20500000</v>
      </c>
    </row>
    <row r="291" spans="1:24" ht="66.75" customHeight="1" x14ac:dyDescent="0.25">
      <c r="B291" s="124"/>
      <c r="C291" s="125"/>
      <c r="D291" s="125"/>
      <c r="E291" s="125"/>
      <c r="F291" s="125"/>
      <c r="G291" s="125"/>
      <c r="H291" s="125"/>
      <c r="I291" s="125"/>
      <c r="J291" s="126"/>
      <c r="K291" s="126" t="s">
        <v>112567</v>
      </c>
      <c r="L291" s="51">
        <v>80101500</v>
      </c>
      <c r="M291" s="97" t="s">
        <v>113133</v>
      </c>
      <c r="N291" s="89">
        <v>45323</v>
      </c>
      <c r="O291" s="89" t="s">
        <v>113035</v>
      </c>
      <c r="P291" s="90" t="s">
        <v>113009</v>
      </c>
      <c r="Q291" s="90" t="s">
        <v>113069</v>
      </c>
      <c r="R291" s="91">
        <v>35200000</v>
      </c>
      <c r="S291" s="92"/>
      <c r="T291" s="93" t="s">
        <v>113017</v>
      </c>
      <c r="U291" s="300">
        <v>14624</v>
      </c>
      <c r="V291" s="301">
        <v>35200000</v>
      </c>
      <c r="W291" s="301">
        <v>16000000</v>
      </c>
      <c r="X291" s="302">
        <f t="shared" si="14"/>
        <v>-19200000</v>
      </c>
    </row>
    <row r="292" spans="1:24" ht="45" x14ac:dyDescent="0.25">
      <c r="B292" s="124"/>
      <c r="C292" s="125"/>
      <c r="D292" s="125"/>
      <c r="E292" s="125"/>
      <c r="F292" s="125"/>
      <c r="G292" s="125"/>
      <c r="H292" s="125"/>
      <c r="I292" s="125"/>
      <c r="J292" s="126"/>
      <c r="K292" s="126" t="s">
        <v>112567</v>
      </c>
      <c r="L292" s="51">
        <v>80101500</v>
      </c>
      <c r="M292" s="97" t="s">
        <v>113217</v>
      </c>
      <c r="N292" s="89">
        <v>45323</v>
      </c>
      <c r="O292" s="89" t="s">
        <v>113035</v>
      </c>
      <c r="P292" s="90" t="s">
        <v>113009</v>
      </c>
      <c r="Q292" s="90" t="s">
        <v>113069</v>
      </c>
      <c r="R292" s="91">
        <v>0</v>
      </c>
      <c r="S292" s="92"/>
      <c r="T292" s="93" t="s">
        <v>113017</v>
      </c>
      <c r="U292" s="303"/>
      <c r="V292" s="301"/>
      <c r="W292" s="301"/>
      <c r="X292" s="302">
        <f t="shared" si="14"/>
        <v>0</v>
      </c>
    </row>
    <row r="293" spans="1:24" ht="30" x14ac:dyDescent="0.25">
      <c r="A293" s="14"/>
      <c r="B293" s="179"/>
      <c r="C293" s="180"/>
      <c r="D293" s="180"/>
      <c r="E293" s="180"/>
      <c r="F293" s="180"/>
      <c r="G293" s="180"/>
      <c r="H293" s="180"/>
      <c r="I293" s="180"/>
      <c r="J293" s="181"/>
      <c r="K293" s="181" t="s">
        <v>112567</v>
      </c>
      <c r="L293" s="164">
        <v>80161500</v>
      </c>
      <c r="M293" s="97" t="s">
        <v>113131</v>
      </c>
      <c r="N293" s="89">
        <v>45301</v>
      </c>
      <c r="O293" s="89" t="s">
        <v>113058</v>
      </c>
      <c r="P293" s="90" t="s">
        <v>113165</v>
      </c>
      <c r="Q293" s="90" t="s">
        <v>113051</v>
      </c>
      <c r="R293" s="91">
        <v>45100000</v>
      </c>
      <c r="S293" s="182"/>
      <c r="T293" s="183" t="s">
        <v>112999</v>
      </c>
      <c r="U293" s="308">
        <v>3124</v>
      </c>
      <c r="V293" s="309">
        <v>45100000</v>
      </c>
      <c r="W293" s="309">
        <v>45100000</v>
      </c>
      <c r="X293" s="302">
        <f t="shared" si="14"/>
        <v>0</v>
      </c>
    </row>
    <row r="294" spans="1:24" x14ac:dyDescent="0.25">
      <c r="B294" s="338" t="s">
        <v>105516</v>
      </c>
      <c r="C294" s="338" t="s">
        <v>105924</v>
      </c>
      <c r="D294" s="338" t="s">
        <v>105520</v>
      </c>
      <c r="E294" s="338" t="s">
        <v>105573</v>
      </c>
      <c r="F294" s="338" t="s">
        <v>105553</v>
      </c>
      <c r="G294" s="338" t="s">
        <v>105544</v>
      </c>
      <c r="H294" s="154"/>
      <c r="I294" s="154"/>
      <c r="J294" s="154"/>
      <c r="K294" s="155"/>
      <c r="L294" s="155"/>
      <c r="M294" s="156" t="s">
        <v>107054</v>
      </c>
      <c r="N294" s="157"/>
      <c r="O294" s="157"/>
      <c r="P294" s="158"/>
      <c r="Q294" s="158"/>
      <c r="R294" s="159">
        <f>SUM(R295+R298)</f>
        <v>2447676000</v>
      </c>
      <c r="S294" s="160"/>
      <c r="T294" s="161"/>
      <c r="U294" s="157"/>
      <c r="V294" s="386"/>
      <c r="W294" s="158"/>
      <c r="X294" s="158"/>
    </row>
    <row r="295" spans="1:24" x14ac:dyDescent="0.25">
      <c r="B295" s="76" t="s">
        <v>105516</v>
      </c>
      <c r="C295" s="76" t="s">
        <v>105924</v>
      </c>
      <c r="D295" s="76" t="s">
        <v>105520</v>
      </c>
      <c r="E295" s="76" t="s">
        <v>105573</v>
      </c>
      <c r="F295" s="76" t="s">
        <v>105553</v>
      </c>
      <c r="G295" s="76" t="s">
        <v>105544</v>
      </c>
      <c r="H295" s="76" t="s">
        <v>105573</v>
      </c>
      <c r="I295" s="76"/>
      <c r="J295" s="76"/>
      <c r="K295" s="76"/>
      <c r="L295" s="76"/>
      <c r="M295" s="78" t="s">
        <v>113134</v>
      </c>
      <c r="N295" s="79"/>
      <c r="O295" s="79"/>
      <c r="P295" s="80"/>
      <c r="Q295" s="80"/>
      <c r="R295" s="81">
        <f>SUM(R296:R297)</f>
        <v>330912042.60000002</v>
      </c>
      <c r="S295" s="82"/>
      <c r="T295" s="96"/>
      <c r="U295" s="79"/>
      <c r="V295" s="363"/>
      <c r="W295" s="80"/>
      <c r="X295" s="80"/>
    </row>
    <row r="296" spans="1:24" ht="45" x14ac:dyDescent="0.25">
      <c r="B296" s="84"/>
      <c r="C296" s="85"/>
      <c r="D296" s="85"/>
      <c r="E296" s="85"/>
      <c r="F296" s="85"/>
      <c r="G296" s="85"/>
      <c r="H296" s="85"/>
      <c r="I296" s="85"/>
      <c r="J296" s="86"/>
      <c r="K296" s="86"/>
      <c r="L296" s="184">
        <v>92121500</v>
      </c>
      <c r="M296" s="88" t="s">
        <v>113228</v>
      </c>
      <c r="N296" s="89">
        <v>45397</v>
      </c>
      <c r="O296" s="89" t="s">
        <v>113084</v>
      </c>
      <c r="P296" s="90" t="s">
        <v>113066</v>
      </c>
      <c r="Q296" s="90" t="s">
        <v>113091</v>
      </c>
      <c r="R296" s="91">
        <v>166380000</v>
      </c>
      <c r="S296" s="287">
        <v>164940000</v>
      </c>
      <c r="T296" s="168" t="s">
        <v>112999</v>
      </c>
      <c r="U296" s="300">
        <v>27624</v>
      </c>
      <c r="V296" s="307"/>
      <c r="W296" s="301">
        <v>52202066</v>
      </c>
      <c r="X296" s="302">
        <f t="shared" ref="X296:X297" si="16">W296-R296</f>
        <v>-114177934</v>
      </c>
    </row>
    <row r="297" spans="1:24" ht="45" x14ac:dyDescent="0.25">
      <c r="B297" s="124"/>
      <c r="C297" s="125"/>
      <c r="D297" s="125"/>
      <c r="E297" s="125"/>
      <c r="F297" s="125"/>
      <c r="G297" s="125"/>
      <c r="H297" s="125"/>
      <c r="I297" s="125"/>
      <c r="J297" s="126"/>
      <c r="K297" s="126"/>
      <c r="L297" s="184">
        <v>92121500</v>
      </c>
      <c r="M297" s="120" t="s">
        <v>113252</v>
      </c>
      <c r="N297" s="89"/>
      <c r="O297" s="89"/>
      <c r="P297" s="121"/>
      <c r="Q297" s="90"/>
      <c r="R297" s="91">
        <v>164532042.59999999</v>
      </c>
      <c r="S297" s="186"/>
      <c r="T297" s="93" t="s">
        <v>112999</v>
      </c>
      <c r="U297" s="300">
        <v>824</v>
      </c>
      <c r="V297" s="301">
        <v>155585354</v>
      </c>
      <c r="W297" s="301">
        <v>155585354</v>
      </c>
      <c r="X297" s="302">
        <f t="shared" si="16"/>
        <v>-8946688.599999994</v>
      </c>
    </row>
    <row r="298" spans="1:24" x14ac:dyDescent="0.25">
      <c r="B298" s="76" t="s">
        <v>105516</v>
      </c>
      <c r="C298" s="76" t="s">
        <v>105924</v>
      </c>
      <c r="D298" s="76" t="s">
        <v>105520</v>
      </c>
      <c r="E298" s="76" t="s">
        <v>105573</v>
      </c>
      <c r="F298" s="76" t="s">
        <v>105553</v>
      </c>
      <c r="G298" s="76" t="s">
        <v>105544</v>
      </c>
      <c r="H298" s="76" t="s">
        <v>105675</v>
      </c>
      <c r="I298" s="76"/>
      <c r="J298" s="76"/>
      <c r="K298" s="76"/>
      <c r="L298" s="76"/>
      <c r="M298" s="78" t="s">
        <v>107060</v>
      </c>
      <c r="N298" s="79"/>
      <c r="O298" s="79" t="s">
        <v>112994</v>
      </c>
      <c r="P298" s="80"/>
      <c r="Q298" s="80"/>
      <c r="R298" s="81">
        <f>SUM(R299:R306)</f>
        <v>2116763957.4000001</v>
      </c>
      <c r="S298" s="82"/>
      <c r="T298" s="96"/>
      <c r="U298" s="79"/>
      <c r="V298" s="363"/>
      <c r="W298" s="80"/>
      <c r="X298" s="80"/>
    </row>
    <row r="299" spans="1:24" ht="30" customHeight="1" x14ac:dyDescent="0.25">
      <c r="B299" s="124"/>
      <c r="C299" s="125"/>
      <c r="D299" s="125"/>
      <c r="E299" s="125"/>
      <c r="F299" s="125"/>
      <c r="G299" s="125"/>
      <c r="H299" s="125"/>
      <c r="I299" s="125"/>
      <c r="J299" s="126"/>
      <c r="K299" s="126" t="s">
        <v>112595</v>
      </c>
      <c r="L299" s="51">
        <v>76111500</v>
      </c>
      <c r="M299" s="88" t="s">
        <v>113229</v>
      </c>
      <c r="N299" s="89"/>
      <c r="O299" s="89"/>
      <c r="P299" s="121"/>
      <c r="Q299" s="90"/>
      <c r="R299" s="91">
        <f>560000000+6361000+7703000</f>
        <v>574064000</v>
      </c>
      <c r="S299" s="186"/>
      <c r="T299" s="93" t="s">
        <v>112999</v>
      </c>
      <c r="U299" s="300">
        <v>624</v>
      </c>
      <c r="V299" s="301">
        <v>574064000</v>
      </c>
      <c r="W299" s="301">
        <v>574060984.14999998</v>
      </c>
      <c r="X299" s="302">
        <f t="shared" ref="X299:X306" si="17">W299-R299</f>
        <v>-3015.8500000238419</v>
      </c>
    </row>
    <row r="300" spans="1:24" ht="60" customHeight="1" x14ac:dyDescent="0.25">
      <c r="B300" s="124"/>
      <c r="C300" s="125"/>
      <c r="D300" s="125"/>
      <c r="E300" s="125"/>
      <c r="F300" s="125"/>
      <c r="G300" s="125"/>
      <c r="H300" s="125"/>
      <c r="I300" s="125"/>
      <c r="J300" s="126"/>
      <c r="K300" s="126" t="s">
        <v>112595</v>
      </c>
      <c r="L300" s="51">
        <v>76111500</v>
      </c>
      <c r="M300" s="88" t="s">
        <v>113230</v>
      </c>
      <c r="N300" s="89"/>
      <c r="O300" s="89"/>
      <c r="P300" s="121"/>
      <c r="Q300" s="90"/>
      <c r="R300" s="91">
        <f>40450000+55319000</f>
        <v>95769000</v>
      </c>
      <c r="S300" s="186"/>
      <c r="T300" s="93" t="s">
        <v>112999</v>
      </c>
      <c r="U300" s="310" t="s">
        <v>113303</v>
      </c>
      <c r="V300" s="301">
        <f>31890221.53+21258082.87+21264460.74+21353566.38</f>
        <v>95766331.519999996</v>
      </c>
      <c r="W300" s="301">
        <v>95766331.519999996</v>
      </c>
      <c r="X300" s="302">
        <f t="shared" si="17"/>
        <v>-2668.4800000041723</v>
      </c>
    </row>
    <row r="301" spans="1:24" ht="30" x14ac:dyDescent="0.25">
      <c r="B301" s="124"/>
      <c r="C301" s="125"/>
      <c r="D301" s="125"/>
      <c r="E301" s="125"/>
      <c r="F301" s="125"/>
      <c r="G301" s="125"/>
      <c r="H301" s="125"/>
      <c r="I301" s="125"/>
      <c r="J301" s="126"/>
      <c r="K301" s="126" t="s">
        <v>112595</v>
      </c>
      <c r="L301" s="51">
        <v>76111500</v>
      </c>
      <c r="M301" s="88" t="s">
        <v>113231</v>
      </c>
      <c r="N301" s="89">
        <v>45381</v>
      </c>
      <c r="O301" s="89" t="s">
        <v>113004</v>
      </c>
      <c r="P301" s="121" t="s">
        <v>113043</v>
      </c>
      <c r="Q301" s="90" t="s">
        <v>113039</v>
      </c>
      <c r="R301" s="91">
        <f>840000000-6361000-55319000</f>
        <v>778320000</v>
      </c>
      <c r="S301" s="186"/>
      <c r="T301" s="93" t="s">
        <v>112999</v>
      </c>
      <c r="U301" s="300">
        <v>33524</v>
      </c>
      <c r="V301" s="301">
        <v>778320000</v>
      </c>
      <c r="W301" s="301">
        <v>636877936.34000003</v>
      </c>
      <c r="X301" s="302">
        <f t="shared" si="17"/>
        <v>-141442063.65999997</v>
      </c>
    </row>
    <row r="302" spans="1:24" ht="45" x14ac:dyDescent="0.25">
      <c r="B302" s="124"/>
      <c r="C302" s="125"/>
      <c r="D302" s="125"/>
      <c r="E302" s="125"/>
      <c r="F302" s="125"/>
      <c r="G302" s="125"/>
      <c r="H302" s="125"/>
      <c r="I302" s="125"/>
      <c r="J302" s="126"/>
      <c r="K302" s="126" t="s">
        <v>112595</v>
      </c>
      <c r="L302" s="51">
        <v>76111500</v>
      </c>
      <c r="M302" s="88" t="s">
        <v>113232</v>
      </c>
      <c r="N302" s="89">
        <v>45381</v>
      </c>
      <c r="O302" s="89" t="s">
        <v>113004</v>
      </c>
      <c r="P302" s="121" t="s">
        <v>113043</v>
      </c>
      <c r="Q302" s="90" t="s">
        <v>113039</v>
      </c>
      <c r="R302" s="91">
        <f>71872000+55000000+15134000+1847957.4</f>
        <v>143853957.40000001</v>
      </c>
      <c r="S302" s="186"/>
      <c r="T302" s="93" t="s">
        <v>112999</v>
      </c>
      <c r="U302" s="300">
        <v>33724</v>
      </c>
      <c r="V302" s="301">
        <v>143853957.40000001</v>
      </c>
      <c r="W302" s="301">
        <v>140062317.69999999</v>
      </c>
      <c r="X302" s="302">
        <f t="shared" si="17"/>
        <v>-3791639.7000000179</v>
      </c>
    </row>
    <row r="303" spans="1:24" ht="45" x14ac:dyDescent="0.25">
      <c r="B303" s="124"/>
      <c r="C303" s="125"/>
      <c r="D303" s="125"/>
      <c r="E303" s="125"/>
      <c r="F303" s="125"/>
      <c r="G303" s="125"/>
      <c r="H303" s="125"/>
      <c r="I303" s="125"/>
      <c r="J303" s="126"/>
      <c r="K303" s="126" t="s">
        <v>112595</v>
      </c>
      <c r="L303" s="51">
        <v>76111500</v>
      </c>
      <c r="M303" s="88" t="s">
        <v>113233</v>
      </c>
      <c r="N303" s="89">
        <v>45427</v>
      </c>
      <c r="O303" s="89" t="s">
        <v>113171</v>
      </c>
      <c r="P303" s="121" t="s">
        <v>113066</v>
      </c>
      <c r="Q303" s="90" t="s">
        <v>113039</v>
      </c>
      <c r="R303" s="91">
        <f>280000000+7032000</f>
        <v>287032000</v>
      </c>
      <c r="S303" s="288">
        <v>912780000</v>
      </c>
      <c r="T303" s="93" t="s">
        <v>112999</v>
      </c>
      <c r="U303" s="300">
        <v>27624</v>
      </c>
      <c r="V303" s="307"/>
      <c r="W303" s="301"/>
      <c r="X303" s="302">
        <f t="shared" si="17"/>
        <v>-287032000</v>
      </c>
    </row>
    <row r="304" spans="1:24" ht="45" x14ac:dyDescent="0.25">
      <c r="B304" s="124"/>
      <c r="C304" s="125"/>
      <c r="D304" s="125"/>
      <c r="E304" s="125"/>
      <c r="F304" s="125"/>
      <c r="G304" s="125"/>
      <c r="H304" s="125"/>
      <c r="I304" s="125"/>
      <c r="J304" s="126"/>
      <c r="K304" s="126" t="s">
        <v>112595</v>
      </c>
      <c r="L304" s="51">
        <v>76111500</v>
      </c>
      <c r="M304" s="88" t="s">
        <v>113234</v>
      </c>
      <c r="N304" s="89">
        <v>45427</v>
      </c>
      <c r="O304" s="89" t="s">
        <v>113171</v>
      </c>
      <c r="P304" s="121" t="s">
        <v>113066</v>
      </c>
      <c r="Q304" s="90" t="s">
        <v>113039</v>
      </c>
      <c r="R304" s="91">
        <f>22460000+30394000</f>
        <v>52854000</v>
      </c>
      <c r="S304" s="288">
        <v>168180000</v>
      </c>
      <c r="T304" s="93" t="s">
        <v>112999</v>
      </c>
      <c r="U304" s="300">
        <v>27624</v>
      </c>
      <c r="V304" s="307"/>
      <c r="W304" s="301"/>
      <c r="X304" s="302">
        <f t="shared" si="17"/>
        <v>-52854000</v>
      </c>
    </row>
    <row r="305" spans="2:24" ht="30" x14ac:dyDescent="0.25">
      <c r="B305" s="124"/>
      <c r="C305" s="125"/>
      <c r="D305" s="125"/>
      <c r="E305" s="125"/>
      <c r="F305" s="125"/>
      <c r="G305" s="125"/>
      <c r="H305" s="125"/>
      <c r="I305" s="125"/>
      <c r="J305" s="126"/>
      <c r="K305" s="126" t="s">
        <v>112595</v>
      </c>
      <c r="L305" s="87" t="s">
        <v>113135</v>
      </c>
      <c r="M305" s="88" t="s">
        <v>113136</v>
      </c>
      <c r="N305" s="89">
        <v>45413</v>
      </c>
      <c r="O305" s="89" t="s">
        <v>113171</v>
      </c>
      <c r="P305" s="121" t="s">
        <v>113137</v>
      </c>
      <c r="Q305" s="90" t="s">
        <v>113091</v>
      </c>
      <c r="R305" s="91">
        <f>80000000-7703000-7032000-30394000</f>
        <v>34871000</v>
      </c>
      <c r="S305" s="186"/>
      <c r="T305" s="93" t="s">
        <v>112999</v>
      </c>
      <c r="U305" s="303"/>
      <c r="V305" s="301"/>
      <c r="W305" s="301"/>
      <c r="X305" s="302">
        <f t="shared" si="17"/>
        <v>-34871000</v>
      </c>
    </row>
    <row r="306" spans="2:24" ht="45" x14ac:dyDescent="0.25">
      <c r="B306" s="124"/>
      <c r="C306" s="125"/>
      <c r="D306" s="125"/>
      <c r="E306" s="125"/>
      <c r="F306" s="125"/>
      <c r="G306" s="125"/>
      <c r="H306" s="125"/>
      <c r="I306" s="125"/>
      <c r="J306" s="126"/>
      <c r="K306" s="126" t="s">
        <v>112595</v>
      </c>
      <c r="L306" s="51">
        <v>72102100</v>
      </c>
      <c r="M306" s="88" t="s">
        <v>113138</v>
      </c>
      <c r="N306" s="89">
        <v>45413</v>
      </c>
      <c r="O306" s="89" t="s">
        <v>113171</v>
      </c>
      <c r="P306" s="90" t="s">
        <v>113137</v>
      </c>
      <c r="Q306" s="90" t="s">
        <v>113091</v>
      </c>
      <c r="R306" s="91">
        <v>150000000</v>
      </c>
      <c r="S306" s="186"/>
      <c r="T306" s="93" t="s">
        <v>112999</v>
      </c>
      <c r="U306" s="300">
        <v>31824</v>
      </c>
      <c r="V306" s="301">
        <v>150000000</v>
      </c>
      <c r="W306" s="301">
        <v>150000000</v>
      </c>
      <c r="X306" s="302">
        <f t="shared" si="17"/>
        <v>0</v>
      </c>
    </row>
    <row r="307" spans="2:24" ht="30" x14ac:dyDescent="0.25">
      <c r="B307" s="338" t="s">
        <v>105516</v>
      </c>
      <c r="C307" s="338" t="s">
        <v>105924</v>
      </c>
      <c r="D307" s="338" t="s">
        <v>105520</v>
      </c>
      <c r="E307" s="338" t="s">
        <v>105573</v>
      </c>
      <c r="F307" s="338" t="s">
        <v>105553</v>
      </c>
      <c r="G307" s="338" t="s">
        <v>105550</v>
      </c>
      <c r="H307" s="154"/>
      <c r="I307" s="154"/>
      <c r="J307" s="154"/>
      <c r="K307" s="155"/>
      <c r="L307" s="155"/>
      <c r="M307" s="156" t="s">
        <v>107092</v>
      </c>
      <c r="N307" s="157"/>
      <c r="O307" s="157" t="s">
        <v>112994</v>
      </c>
      <c r="P307" s="158"/>
      <c r="Q307" s="158"/>
      <c r="R307" s="159">
        <f>+R308</f>
        <v>116456800</v>
      </c>
      <c r="S307" s="160"/>
      <c r="T307" s="161"/>
      <c r="U307" s="157"/>
      <c r="V307" s="386"/>
      <c r="W307" s="158"/>
      <c r="X307" s="158"/>
    </row>
    <row r="308" spans="2:24" ht="30" x14ac:dyDescent="0.25">
      <c r="B308" s="76" t="s">
        <v>105516</v>
      </c>
      <c r="C308" s="76" t="s">
        <v>105924</v>
      </c>
      <c r="D308" s="76" t="s">
        <v>105520</v>
      </c>
      <c r="E308" s="76" t="s">
        <v>105573</v>
      </c>
      <c r="F308" s="76" t="s">
        <v>105553</v>
      </c>
      <c r="G308" s="76" t="s">
        <v>105550</v>
      </c>
      <c r="H308" s="76" t="s">
        <v>105520</v>
      </c>
      <c r="I308" s="76"/>
      <c r="J308" s="76"/>
      <c r="K308" s="76"/>
      <c r="L308" s="76"/>
      <c r="M308" s="78" t="s">
        <v>107094</v>
      </c>
      <c r="N308" s="79"/>
      <c r="O308" s="79" t="s">
        <v>112994</v>
      </c>
      <c r="P308" s="80"/>
      <c r="Q308" s="80"/>
      <c r="R308" s="81">
        <f>+R309</f>
        <v>116456800</v>
      </c>
      <c r="S308" s="82"/>
      <c r="T308" s="96"/>
      <c r="U308" s="79"/>
      <c r="V308" s="363"/>
      <c r="W308" s="80"/>
      <c r="X308" s="80"/>
    </row>
    <row r="309" spans="2:24" ht="30" x14ac:dyDescent="0.25">
      <c r="B309" s="76" t="s">
        <v>105516</v>
      </c>
      <c r="C309" s="76" t="s">
        <v>105924</v>
      </c>
      <c r="D309" s="76" t="s">
        <v>105520</v>
      </c>
      <c r="E309" s="76" t="s">
        <v>105573</v>
      </c>
      <c r="F309" s="76" t="s">
        <v>105553</v>
      </c>
      <c r="G309" s="76" t="s">
        <v>105550</v>
      </c>
      <c r="H309" s="76" t="s">
        <v>105520</v>
      </c>
      <c r="I309" s="76" t="s">
        <v>106217</v>
      </c>
      <c r="J309" s="76"/>
      <c r="K309" s="76"/>
      <c r="L309" s="76"/>
      <c r="M309" s="78" t="s">
        <v>107104</v>
      </c>
      <c r="N309" s="79"/>
      <c r="O309" s="79" t="s">
        <v>112994</v>
      </c>
      <c r="P309" s="80"/>
      <c r="Q309" s="80"/>
      <c r="R309" s="81">
        <f>SUM(R310:R311)</f>
        <v>116456800</v>
      </c>
      <c r="S309" s="82"/>
      <c r="T309" s="96"/>
      <c r="U309" s="79"/>
      <c r="V309" s="363"/>
      <c r="W309" s="80"/>
      <c r="X309" s="80"/>
    </row>
    <row r="310" spans="2:24" ht="45" x14ac:dyDescent="0.25">
      <c r="B310" s="84"/>
      <c r="C310" s="85"/>
      <c r="D310" s="85"/>
      <c r="E310" s="85"/>
      <c r="F310" s="85"/>
      <c r="G310" s="85"/>
      <c r="H310" s="85"/>
      <c r="I310" s="85"/>
      <c r="J310" s="86"/>
      <c r="K310" s="86" t="s">
        <v>112614</v>
      </c>
      <c r="L310" s="87" t="s">
        <v>113209</v>
      </c>
      <c r="M310" s="88" t="s">
        <v>113140</v>
      </c>
      <c r="N310" s="89">
        <v>45425</v>
      </c>
      <c r="O310" s="89" t="s">
        <v>113084</v>
      </c>
      <c r="P310" s="90" t="s">
        <v>113026</v>
      </c>
      <c r="Q310" s="90" t="s">
        <v>113036</v>
      </c>
      <c r="R310" s="91">
        <v>116456800</v>
      </c>
      <c r="S310" s="92"/>
      <c r="T310" s="93" t="s">
        <v>113017</v>
      </c>
      <c r="U310" s="300">
        <v>41824</v>
      </c>
      <c r="V310" s="301">
        <v>116456800</v>
      </c>
      <c r="W310" s="93"/>
      <c r="X310" s="302">
        <f t="shared" ref="X310:X311" si="18">W310-R310</f>
        <v>-116456800</v>
      </c>
    </row>
    <row r="311" spans="2:24" ht="45" x14ac:dyDescent="0.25">
      <c r="B311" s="124"/>
      <c r="C311" s="125"/>
      <c r="D311" s="125"/>
      <c r="E311" s="125"/>
      <c r="F311" s="125"/>
      <c r="G311" s="125"/>
      <c r="H311" s="125"/>
      <c r="I311" s="125"/>
      <c r="J311" s="125"/>
      <c r="K311" s="125" t="s">
        <v>112614</v>
      </c>
      <c r="L311" s="187">
        <v>73152100</v>
      </c>
      <c r="M311" s="113" t="s">
        <v>113139</v>
      </c>
      <c r="N311" s="114">
        <v>45444</v>
      </c>
      <c r="O311" s="89" t="s">
        <v>113008</v>
      </c>
      <c r="P311" s="90" t="s">
        <v>113005</v>
      </c>
      <c r="Q311" s="121" t="s">
        <v>112998</v>
      </c>
      <c r="R311" s="91">
        <f>55000000-55000000</f>
        <v>0</v>
      </c>
      <c r="S311" s="92"/>
      <c r="T311" s="93" t="s">
        <v>112999</v>
      </c>
      <c r="U311" s="303"/>
      <c r="V311" s="301"/>
      <c r="W311" s="301"/>
      <c r="X311" s="302">
        <f t="shared" si="18"/>
        <v>0</v>
      </c>
    </row>
    <row r="312" spans="2:24" x14ac:dyDescent="0.25">
      <c r="B312" s="59" t="s">
        <v>105516</v>
      </c>
      <c r="C312" s="59" t="s">
        <v>105924</v>
      </c>
      <c r="D312" s="59" t="s">
        <v>105520</v>
      </c>
      <c r="E312" s="59" t="s">
        <v>105573</v>
      </c>
      <c r="F312" s="59" t="s">
        <v>105556</v>
      </c>
      <c r="G312" s="59"/>
      <c r="H312" s="59"/>
      <c r="I312" s="59"/>
      <c r="J312" s="59"/>
      <c r="K312" s="60"/>
      <c r="L312" s="61"/>
      <c r="M312" s="62" t="s">
        <v>107164</v>
      </c>
      <c r="N312" s="63"/>
      <c r="O312" s="63"/>
      <c r="P312" s="64"/>
      <c r="Q312" s="64"/>
      <c r="R312" s="65">
        <f>+R313</f>
        <v>4866000</v>
      </c>
      <c r="S312" s="66"/>
      <c r="T312" s="67"/>
      <c r="U312" s="63" t="s">
        <v>112994</v>
      </c>
      <c r="V312" s="361" t="s">
        <v>112994</v>
      </c>
      <c r="W312" s="64"/>
      <c r="X312" s="64"/>
    </row>
    <row r="313" spans="2:24" ht="63.75" customHeight="1" x14ac:dyDescent="0.25">
      <c r="B313" s="338" t="s">
        <v>105516</v>
      </c>
      <c r="C313" s="338" t="s">
        <v>105924</v>
      </c>
      <c r="D313" s="338" t="s">
        <v>105520</v>
      </c>
      <c r="E313" s="338" t="s">
        <v>105573</v>
      </c>
      <c r="F313" s="339" t="s">
        <v>105556</v>
      </c>
      <c r="G313" s="339" t="s">
        <v>105541</v>
      </c>
      <c r="H313" s="154"/>
      <c r="I313" s="154"/>
      <c r="J313" s="154"/>
      <c r="K313" s="155"/>
      <c r="L313" s="155"/>
      <c r="M313" s="156" t="s">
        <v>107192</v>
      </c>
      <c r="N313" s="157"/>
      <c r="O313" s="157"/>
      <c r="P313" s="158"/>
      <c r="Q313" s="158"/>
      <c r="R313" s="159">
        <f>+R314</f>
        <v>4866000</v>
      </c>
      <c r="S313" s="160"/>
      <c r="T313" s="161"/>
      <c r="U313" s="157"/>
      <c r="V313" s="386"/>
      <c r="W313" s="158"/>
      <c r="X313" s="158"/>
    </row>
    <row r="314" spans="2:24" ht="28.5" customHeight="1" x14ac:dyDescent="0.25">
      <c r="B314" s="76" t="s">
        <v>105516</v>
      </c>
      <c r="C314" s="76" t="s">
        <v>105924</v>
      </c>
      <c r="D314" s="76" t="s">
        <v>105520</v>
      </c>
      <c r="E314" s="76" t="s">
        <v>105573</v>
      </c>
      <c r="F314" s="77" t="s">
        <v>105556</v>
      </c>
      <c r="G314" s="77" t="s">
        <v>105541</v>
      </c>
      <c r="H314" s="77" t="s">
        <v>106109</v>
      </c>
      <c r="I314" s="76"/>
      <c r="J314" s="76"/>
      <c r="K314" s="76"/>
      <c r="L314" s="76"/>
      <c r="M314" s="78" t="s">
        <v>107204</v>
      </c>
      <c r="N314" s="79"/>
      <c r="O314" s="79"/>
      <c r="P314" s="80"/>
      <c r="Q314" s="80"/>
      <c r="R314" s="81">
        <f>+R315</f>
        <v>4866000</v>
      </c>
      <c r="S314" s="82"/>
      <c r="T314" s="96"/>
      <c r="U314" s="79"/>
      <c r="V314" s="363"/>
      <c r="W314" s="80"/>
      <c r="X314" s="80"/>
    </row>
    <row r="315" spans="2:24" ht="45" x14ac:dyDescent="0.25">
      <c r="B315" s="84"/>
      <c r="C315" s="85"/>
      <c r="D315" s="85"/>
      <c r="E315" s="85"/>
      <c r="F315" s="85"/>
      <c r="G315" s="85"/>
      <c r="H315" s="85"/>
      <c r="I315" s="85"/>
      <c r="J315" s="86"/>
      <c r="K315" s="86"/>
      <c r="L315" s="87" t="s">
        <v>113235</v>
      </c>
      <c r="M315" s="88" t="s">
        <v>113236</v>
      </c>
      <c r="N315" s="89">
        <v>45444</v>
      </c>
      <c r="O315" s="89" t="s">
        <v>113008</v>
      </c>
      <c r="P315" s="90" t="s">
        <v>113005</v>
      </c>
      <c r="Q315" s="90" t="s">
        <v>113050</v>
      </c>
      <c r="R315" s="91">
        <f>20000000-15134000</f>
        <v>4866000</v>
      </c>
      <c r="S315" s="92"/>
      <c r="T315" s="93" t="s">
        <v>112999</v>
      </c>
      <c r="U315" s="303"/>
      <c r="V315" s="301"/>
      <c r="W315" s="301"/>
      <c r="X315" s="302">
        <f>W315-R315</f>
        <v>-4866000</v>
      </c>
    </row>
    <row r="316" spans="2:24" x14ac:dyDescent="0.25">
      <c r="B316" s="315" t="s">
        <v>105516</v>
      </c>
      <c r="C316" s="315" t="s">
        <v>106103</v>
      </c>
      <c r="D316" s="315"/>
      <c r="E316" s="315"/>
      <c r="F316" s="315"/>
      <c r="G316" s="315"/>
      <c r="H316" s="315"/>
      <c r="I316" s="315"/>
      <c r="J316" s="315"/>
      <c r="K316" s="188"/>
      <c r="L316" s="189"/>
      <c r="M316" s="190" t="s">
        <v>112750</v>
      </c>
      <c r="N316" s="191"/>
      <c r="O316" s="191" t="s">
        <v>112994</v>
      </c>
      <c r="P316" s="192"/>
      <c r="Q316" s="192"/>
      <c r="R316" s="322">
        <f>R317+R322</f>
        <v>2578000000</v>
      </c>
      <c r="S316" s="193"/>
      <c r="T316" s="194"/>
      <c r="U316" s="194"/>
      <c r="V316" s="370"/>
      <c r="W316" s="194"/>
      <c r="X316" s="194"/>
    </row>
    <row r="317" spans="2:24" x14ac:dyDescent="0.25">
      <c r="B317" s="315" t="s">
        <v>105516</v>
      </c>
      <c r="C317" s="315" t="s">
        <v>106103</v>
      </c>
      <c r="D317" s="315" t="s">
        <v>105520</v>
      </c>
      <c r="E317" s="315"/>
      <c r="F317" s="315"/>
      <c r="G317" s="315"/>
      <c r="H317" s="315"/>
      <c r="I317" s="315"/>
      <c r="J317" s="315"/>
      <c r="K317" s="188"/>
      <c r="L317" s="189"/>
      <c r="M317" s="190" t="s">
        <v>113319</v>
      </c>
      <c r="N317" s="191"/>
      <c r="O317" s="191" t="s">
        <v>112994</v>
      </c>
      <c r="P317" s="192"/>
      <c r="Q317" s="192"/>
      <c r="R317" s="322">
        <f>R318+R320</f>
        <v>158000000</v>
      </c>
      <c r="S317" s="193"/>
      <c r="T317" s="194"/>
      <c r="U317" s="194"/>
      <c r="V317" s="370"/>
      <c r="W317" s="194"/>
      <c r="X317" s="194"/>
    </row>
    <row r="318" spans="2:24" x14ac:dyDescent="0.25">
      <c r="B318" s="337" t="s">
        <v>105516</v>
      </c>
      <c r="C318" s="337" t="s">
        <v>106103</v>
      </c>
      <c r="D318" s="337" t="s">
        <v>105520</v>
      </c>
      <c r="E318" s="337" t="s">
        <v>105520</v>
      </c>
      <c r="F318" s="298"/>
      <c r="G318" s="298"/>
      <c r="H318" s="298"/>
      <c r="I318" s="298"/>
      <c r="J318" s="298"/>
      <c r="K318" s="195"/>
      <c r="L318" s="195"/>
      <c r="M318" s="196" t="s">
        <v>112754</v>
      </c>
      <c r="N318" s="197"/>
      <c r="O318" s="197" t="s">
        <v>112994</v>
      </c>
      <c r="P318" s="198"/>
      <c r="Q318" s="198"/>
      <c r="R318" s="199">
        <f>+R319</f>
        <v>71000000</v>
      </c>
      <c r="S318" s="200"/>
      <c r="T318" s="201"/>
      <c r="U318" s="201"/>
      <c r="V318" s="371"/>
      <c r="W318" s="201"/>
      <c r="X318" s="201"/>
    </row>
    <row r="319" spans="2:24" x14ac:dyDescent="0.25">
      <c r="B319" s="319"/>
      <c r="C319" s="319"/>
      <c r="D319" s="319"/>
      <c r="E319" s="319"/>
      <c r="F319" s="317"/>
      <c r="G319" s="317"/>
      <c r="H319" s="317"/>
      <c r="I319" s="317"/>
      <c r="J319" s="317"/>
      <c r="K319" s="86" t="s">
        <v>112751</v>
      </c>
      <c r="L319" s="202"/>
      <c r="M319" s="97" t="s">
        <v>112754</v>
      </c>
      <c r="N319" s="90"/>
      <c r="O319" s="90"/>
      <c r="P319" s="90"/>
      <c r="Q319" s="90"/>
      <c r="R319" s="91">
        <v>71000000</v>
      </c>
      <c r="S319" s="182"/>
      <c r="T319" s="183" t="s">
        <v>113010</v>
      </c>
      <c r="U319" s="300">
        <v>6424</v>
      </c>
      <c r="V319" s="301">
        <v>71000000</v>
      </c>
      <c r="W319" s="301">
        <v>58015334</v>
      </c>
      <c r="X319" s="302">
        <f>W319-R319</f>
        <v>-12984666</v>
      </c>
    </row>
    <row r="320" spans="2:24" x14ac:dyDescent="0.25">
      <c r="B320" s="337" t="s">
        <v>105516</v>
      </c>
      <c r="C320" s="337" t="s">
        <v>106103</v>
      </c>
      <c r="D320" s="337" t="s">
        <v>105520</v>
      </c>
      <c r="E320" s="337" t="s">
        <v>105573</v>
      </c>
      <c r="F320" s="298"/>
      <c r="G320" s="298"/>
      <c r="H320" s="298"/>
      <c r="I320" s="298"/>
      <c r="J320" s="298"/>
      <c r="K320" s="195"/>
      <c r="L320" s="195"/>
      <c r="M320" s="196" t="s">
        <v>112756</v>
      </c>
      <c r="N320" s="197"/>
      <c r="O320" s="197" t="s">
        <v>112994</v>
      </c>
      <c r="P320" s="198"/>
      <c r="Q320" s="198"/>
      <c r="R320" s="323">
        <f>R321</f>
        <v>87000000</v>
      </c>
      <c r="S320" s="200"/>
      <c r="T320" s="201"/>
      <c r="U320" s="201"/>
      <c r="V320" s="371"/>
      <c r="W320" s="201"/>
      <c r="X320" s="201"/>
    </row>
    <row r="321" spans="2:24" x14ac:dyDescent="0.25">
      <c r="B321" s="387"/>
      <c r="C321" s="388"/>
      <c r="D321" s="388"/>
      <c r="E321" s="388"/>
      <c r="F321" s="388"/>
      <c r="G321" s="388"/>
      <c r="H321" s="388"/>
      <c r="I321" s="388"/>
      <c r="J321" s="388"/>
      <c r="K321" s="388"/>
      <c r="L321" s="389"/>
      <c r="M321" s="97" t="s">
        <v>112756</v>
      </c>
      <c r="N321" s="90"/>
      <c r="O321" s="90"/>
      <c r="P321" s="90"/>
      <c r="Q321" s="90"/>
      <c r="R321" s="295">
        <f>47000000+40000000</f>
        <v>87000000</v>
      </c>
      <c r="S321" s="182"/>
      <c r="T321" s="183" t="s">
        <v>113010</v>
      </c>
      <c r="U321" s="300">
        <v>6424</v>
      </c>
      <c r="V321" s="301">
        <f>47000000+40000000</f>
        <v>87000000</v>
      </c>
      <c r="W321" s="301">
        <v>46500000</v>
      </c>
      <c r="X321" s="302">
        <f>W321-R321</f>
        <v>-40500000</v>
      </c>
    </row>
    <row r="322" spans="2:24" x14ac:dyDescent="0.25">
      <c r="B322" s="337" t="s">
        <v>105516</v>
      </c>
      <c r="C322" s="337" t="s">
        <v>106103</v>
      </c>
      <c r="D322" s="337" t="s">
        <v>105675</v>
      </c>
      <c r="E322" s="298"/>
      <c r="F322" s="298"/>
      <c r="G322" s="298"/>
      <c r="H322" s="298"/>
      <c r="I322" s="298"/>
      <c r="J322" s="298"/>
      <c r="K322" s="195"/>
      <c r="L322" s="195"/>
      <c r="M322" s="196" t="s">
        <v>112762</v>
      </c>
      <c r="N322" s="197"/>
      <c r="O322" s="197" t="s">
        <v>112994</v>
      </c>
      <c r="P322" s="198"/>
      <c r="Q322" s="198"/>
      <c r="R322" s="199">
        <f>+R323</f>
        <v>2420000000</v>
      </c>
      <c r="S322" s="200"/>
      <c r="T322" s="201"/>
      <c r="U322" s="201"/>
      <c r="V322" s="371"/>
      <c r="W322" s="201"/>
      <c r="X322" s="201"/>
    </row>
    <row r="323" spans="2:24" x14ac:dyDescent="0.25">
      <c r="B323" s="316"/>
      <c r="C323" s="317"/>
      <c r="D323" s="317"/>
      <c r="E323" s="317"/>
      <c r="F323" s="317"/>
      <c r="G323" s="317"/>
      <c r="H323" s="317"/>
      <c r="I323" s="317"/>
      <c r="J323" s="318"/>
      <c r="K323" s="86" t="s">
        <v>112761</v>
      </c>
      <c r="L323" s="202"/>
      <c r="M323" s="97" t="s">
        <v>113141</v>
      </c>
      <c r="N323" s="90"/>
      <c r="O323" s="90" t="s">
        <v>113029</v>
      </c>
      <c r="P323" s="90"/>
      <c r="Q323" s="90"/>
      <c r="R323" s="91">
        <f>5600000000-2280000000-900000000</f>
        <v>2420000000</v>
      </c>
      <c r="S323" s="182"/>
      <c r="T323" s="183" t="s">
        <v>113062</v>
      </c>
      <c r="U323" s="300" t="s">
        <v>113302</v>
      </c>
      <c r="V323" s="301">
        <f>702523750.92+16081138</f>
        <v>718604888.91999996</v>
      </c>
      <c r="W323" s="301">
        <f>702220374+16326895</f>
        <v>718547269</v>
      </c>
      <c r="X323" s="302">
        <f>W323-R323</f>
        <v>-1701452731</v>
      </c>
    </row>
    <row r="324" spans="2:24" ht="44.25" customHeight="1" x14ac:dyDescent="0.25">
      <c r="B324" s="203" t="s">
        <v>105516</v>
      </c>
      <c r="C324" s="203" t="s">
        <v>106106</v>
      </c>
      <c r="D324" s="203"/>
      <c r="E324" s="203"/>
      <c r="F324" s="203"/>
      <c r="G324" s="203"/>
      <c r="H324" s="203"/>
      <c r="I324" s="203"/>
      <c r="J324" s="203"/>
      <c r="K324" s="204"/>
      <c r="L324" s="205"/>
      <c r="M324" s="206" t="s">
        <v>112766</v>
      </c>
      <c r="N324" s="207"/>
      <c r="O324" s="207" t="s">
        <v>112994</v>
      </c>
      <c r="P324" s="208"/>
      <c r="Q324" s="208"/>
      <c r="R324" s="209">
        <v>4192000000</v>
      </c>
      <c r="S324" s="210"/>
      <c r="T324" s="211"/>
      <c r="U324" s="211"/>
      <c r="V324" s="372"/>
      <c r="W324" s="211"/>
      <c r="X324" s="211"/>
    </row>
    <row r="325" spans="2:24" x14ac:dyDescent="0.25">
      <c r="B325" s="212" t="s">
        <v>105516</v>
      </c>
      <c r="C325" s="212" t="s">
        <v>106106</v>
      </c>
      <c r="D325" s="212" t="s">
        <v>105520</v>
      </c>
      <c r="E325" s="212"/>
      <c r="F325" s="212"/>
      <c r="G325" s="212"/>
      <c r="H325" s="212"/>
      <c r="I325" s="212"/>
      <c r="J325" s="212"/>
      <c r="K325" s="213"/>
      <c r="L325" s="213"/>
      <c r="M325" s="214" t="s">
        <v>112768</v>
      </c>
      <c r="N325" s="215"/>
      <c r="O325" s="215" t="s">
        <v>112994</v>
      </c>
      <c r="P325" s="216"/>
      <c r="Q325" s="216"/>
      <c r="R325" s="217">
        <v>3757000000</v>
      </c>
      <c r="S325" s="218"/>
      <c r="T325" s="219"/>
      <c r="U325" s="219"/>
      <c r="V325" s="373"/>
      <c r="W325" s="219"/>
      <c r="X325" s="219"/>
    </row>
    <row r="326" spans="2:24" x14ac:dyDescent="0.25">
      <c r="B326" s="220" t="s">
        <v>105516</v>
      </c>
      <c r="C326" s="220" t="s">
        <v>106106</v>
      </c>
      <c r="D326" s="220" t="s">
        <v>105520</v>
      </c>
      <c r="E326" s="220" t="s">
        <v>105573</v>
      </c>
      <c r="F326" s="220"/>
      <c r="G326" s="220"/>
      <c r="H326" s="220"/>
      <c r="I326" s="220"/>
      <c r="J326" s="220"/>
      <c r="K326" s="221"/>
      <c r="L326" s="221"/>
      <c r="M326" s="222" t="s">
        <v>112780</v>
      </c>
      <c r="N326" s="223"/>
      <c r="O326" s="223" t="s">
        <v>112994</v>
      </c>
      <c r="P326" s="224"/>
      <c r="Q326" s="224"/>
      <c r="R326" s="225">
        <f>R327+R329+R331</f>
        <v>3557000000</v>
      </c>
      <c r="S326" s="226"/>
      <c r="T326" s="227"/>
      <c r="U326" s="227"/>
      <c r="V326" s="374"/>
      <c r="W326" s="227"/>
      <c r="X326" s="227"/>
    </row>
    <row r="327" spans="2:24" x14ac:dyDescent="0.25">
      <c r="B327" s="338" t="s">
        <v>105516</v>
      </c>
      <c r="C327" s="338" t="s">
        <v>106106</v>
      </c>
      <c r="D327" s="338" t="s">
        <v>105520</v>
      </c>
      <c r="E327" s="338" t="s">
        <v>105573</v>
      </c>
      <c r="F327" s="338" t="s">
        <v>105528</v>
      </c>
      <c r="G327" s="228"/>
      <c r="H327" s="228"/>
      <c r="I327" s="228"/>
      <c r="J327" s="228"/>
      <c r="K327" s="61"/>
      <c r="L327" s="61"/>
      <c r="M327" s="62" t="s">
        <v>112782</v>
      </c>
      <c r="N327" s="63"/>
      <c r="O327" s="63" t="s">
        <v>112994</v>
      </c>
      <c r="P327" s="64"/>
      <c r="Q327" s="64"/>
      <c r="R327" s="65">
        <f>+R328</f>
        <v>3463000000</v>
      </c>
      <c r="S327" s="66"/>
      <c r="T327" s="67"/>
      <c r="U327" s="67"/>
      <c r="V327" s="375"/>
      <c r="W327" s="67"/>
      <c r="X327" s="67"/>
    </row>
    <row r="328" spans="2:24" x14ac:dyDescent="0.25">
      <c r="B328" s="84"/>
      <c r="C328" s="85"/>
      <c r="D328" s="85"/>
      <c r="E328" s="85"/>
      <c r="F328" s="85"/>
      <c r="G328" s="85"/>
      <c r="H328" s="85"/>
      <c r="I328" s="85"/>
      <c r="J328" s="86"/>
      <c r="K328" s="86" t="s">
        <v>112781</v>
      </c>
      <c r="L328" s="202"/>
      <c r="M328" s="97" t="str">
        <f>+M327</f>
        <v>IMPUESTO PREDIAL Y SOBRETASA AMBIENTAL</v>
      </c>
      <c r="N328" s="90"/>
      <c r="O328" s="90"/>
      <c r="P328" s="90"/>
      <c r="Q328" s="90"/>
      <c r="R328" s="185">
        <f>3563000000-100000000</f>
        <v>3463000000</v>
      </c>
      <c r="S328" s="229"/>
      <c r="T328" s="183"/>
      <c r="U328" s="300">
        <v>12524</v>
      </c>
      <c r="V328" s="301">
        <v>3456538657</v>
      </c>
      <c r="W328" s="301">
        <v>3456538657</v>
      </c>
      <c r="X328" s="302">
        <f>W328-R328</f>
        <v>-6461343</v>
      </c>
    </row>
    <row r="329" spans="2:24" x14ac:dyDescent="0.25">
      <c r="B329" s="338" t="s">
        <v>105516</v>
      </c>
      <c r="C329" s="338" t="s">
        <v>106106</v>
      </c>
      <c r="D329" s="338" t="s">
        <v>105520</v>
      </c>
      <c r="E329" s="338" t="s">
        <v>105573</v>
      </c>
      <c r="F329" s="338" t="s">
        <v>105538</v>
      </c>
      <c r="G329" s="228"/>
      <c r="H329" s="228"/>
      <c r="I329" s="228"/>
      <c r="J329" s="228"/>
      <c r="K329" s="61"/>
      <c r="L329" s="61"/>
      <c r="M329" s="62" t="s">
        <v>112786</v>
      </c>
      <c r="N329" s="63"/>
      <c r="O329" s="63" t="s">
        <v>112994</v>
      </c>
      <c r="P329" s="64"/>
      <c r="Q329" s="64"/>
      <c r="R329" s="65">
        <f>+R330</f>
        <v>90000000</v>
      </c>
      <c r="S329" s="66"/>
      <c r="T329" s="67"/>
      <c r="U329" s="67"/>
      <c r="V329" s="375"/>
      <c r="W329" s="67"/>
      <c r="X329" s="67"/>
    </row>
    <row r="330" spans="2:24" ht="15" customHeight="1" x14ac:dyDescent="0.25">
      <c r="B330" s="84"/>
      <c r="C330" s="85"/>
      <c r="D330" s="85"/>
      <c r="E330" s="85"/>
      <c r="F330" s="85"/>
      <c r="G330" s="85"/>
      <c r="H330" s="85"/>
      <c r="I330" s="85"/>
      <c r="J330" s="86"/>
      <c r="K330" s="86" t="s">
        <v>112785</v>
      </c>
      <c r="L330" s="118"/>
      <c r="M330" s="88" t="str">
        <f>+M329</f>
        <v>IMPUESTO DE INDUSTRIA Y COMERCIO</v>
      </c>
      <c r="N330" s="90"/>
      <c r="O330" s="90"/>
      <c r="P330" s="90" t="s">
        <v>112994</v>
      </c>
      <c r="Q330" s="90"/>
      <c r="R330" s="91">
        <v>90000000</v>
      </c>
      <c r="S330" s="92"/>
      <c r="T330" s="93"/>
      <c r="U330" s="384" t="s">
        <v>113304</v>
      </c>
      <c r="V330" s="301">
        <v>46361240</v>
      </c>
      <c r="W330" s="301">
        <v>46361240</v>
      </c>
      <c r="X330" s="302">
        <f>W330-R330</f>
        <v>-43638760</v>
      </c>
    </row>
    <row r="331" spans="2:24" x14ac:dyDescent="0.25">
      <c r="B331" s="338" t="s">
        <v>105516</v>
      </c>
      <c r="C331" s="338" t="s">
        <v>106106</v>
      </c>
      <c r="D331" s="338" t="s">
        <v>105520</v>
      </c>
      <c r="E331" s="338" t="s">
        <v>105573</v>
      </c>
      <c r="F331" s="338" t="s">
        <v>105547</v>
      </c>
      <c r="G331" s="228"/>
      <c r="H331" s="228"/>
      <c r="I331" s="228"/>
      <c r="J331" s="228"/>
      <c r="K331" s="61"/>
      <c r="L331" s="61"/>
      <c r="M331" s="62" t="s">
        <v>112792</v>
      </c>
      <c r="N331" s="63"/>
      <c r="O331" s="63" t="s">
        <v>112994</v>
      </c>
      <c r="P331" s="64"/>
      <c r="Q331" s="64"/>
      <c r="R331" s="65">
        <f>+R332</f>
        <v>4000000</v>
      </c>
      <c r="S331" s="66"/>
      <c r="T331" s="67"/>
      <c r="U331" s="67"/>
      <c r="V331" s="375"/>
      <c r="W331" s="67"/>
      <c r="X331" s="67"/>
    </row>
    <row r="332" spans="2:24" x14ac:dyDescent="0.25">
      <c r="B332" s="84"/>
      <c r="C332" s="85"/>
      <c r="D332" s="85"/>
      <c r="E332" s="85"/>
      <c r="F332" s="85"/>
      <c r="G332" s="85"/>
      <c r="H332" s="85"/>
      <c r="I332" s="85"/>
      <c r="J332" s="86"/>
      <c r="K332" s="86" t="s">
        <v>112791</v>
      </c>
      <c r="L332" s="118"/>
      <c r="M332" s="88" t="str">
        <f>+M331</f>
        <v>IMPUESTO SOBRE VEHÍCULOS AUTOMOTORES</v>
      </c>
      <c r="N332" s="90"/>
      <c r="O332" s="90"/>
      <c r="P332" s="90"/>
      <c r="Q332" s="90"/>
      <c r="R332" s="91">
        <v>4000000</v>
      </c>
      <c r="S332" s="92"/>
      <c r="T332" s="93"/>
      <c r="U332" s="300">
        <v>93824</v>
      </c>
      <c r="V332" s="301">
        <v>317264</v>
      </c>
      <c r="W332" s="301">
        <v>317264</v>
      </c>
      <c r="X332" s="302">
        <f>W332-R332</f>
        <v>-3682736</v>
      </c>
    </row>
    <row r="333" spans="2:24" x14ac:dyDescent="0.25">
      <c r="B333" s="212" t="s">
        <v>105516</v>
      </c>
      <c r="C333" s="212" t="s">
        <v>106106</v>
      </c>
      <c r="D333" s="212" t="s">
        <v>105917</v>
      </c>
      <c r="E333" s="212"/>
      <c r="F333" s="212"/>
      <c r="G333" s="212"/>
      <c r="H333" s="212"/>
      <c r="I333" s="212"/>
      <c r="J333" s="212"/>
      <c r="K333" s="213"/>
      <c r="L333" s="213"/>
      <c r="M333" s="214" t="s">
        <v>112804</v>
      </c>
      <c r="N333" s="215"/>
      <c r="O333" s="215" t="s">
        <v>112994</v>
      </c>
      <c r="P333" s="216"/>
      <c r="Q333" s="216"/>
      <c r="R333" s="217">
        <f>+R334+R335</f>
        <v>182000000</v>
      </c>
      <c r="S333" s="218"/>
      <c r="T333" s="219"/>
      <c r="U333" s="219"/>
      <c r="V333" s="373"/>
      <c r="W333" s="219"/>
      <c r="X333" s="219"/>
    </row>
    <row r="334" spans="2:24" x14ac:dyDescent="0.25">
      <c r="B334" s="338" t="s">
        <v>105516</v>
      </c>
      <c r="C334" s="338" t="s">
        <v>106106</v>
      </c>
      <c r="D334" s="338" t="s">
        <v>105917</v>
      </c>
      <c r="E334" s="338" t="s">
        <v>105520</v>
      </c>
      <c r="F334" s="220"/>
      <c r="G334" s="220"/>
      <c r="H334" s="220"/>
      <c r="I334" s="220"/>
      <c r="J334" s="220"/>
      <c r="K334" s="230" t="s">
        <v>112805</v>
      </c>
      <c r="L334" s="221"/>
      <c r="M334" s="222" t="s">
        <v>112806</v>
      </c>
      <c r="N334" s="223" t="s">
        <v>112994</v>
      </c>
      <c r="O334" s="223" t="s">
        <v>113029</v>
      </c>
      <c r="P334" s="224"/>
      <c r="Q334" s="224"/>
      <c r="R334" s="231">
        <v>136000000</v>
      </c>
      <c r="S334" s="232"/>
      <c r="T334" s="227"/>
      <c r="U334" s="227"/>
      <c r="V334" s="374"/>
      <c r="W334" s="227"/>
      <c r="X334" s="227"/>
    </row>
    <row r="335" spans="2:24" x14ac:dyDescent="0.25">
      <c r="B335" s="338" t="s">
        <v>105516</v>
      </c>
      <c r="C335" s="338" t="s">
        <v>106106</v>
      </c>
      <c r="D335" s="338" t="s">
        <v>105917</v>
      </c>
      <c r="E335" s="338" t="s">
        <v>105917</v>
      </c>
      <c r="F335" s="220"/>
      <c r="G335" s="220"/>
      <c r="H335" s="220"/>
      <c r="I335" s="220"/>
      <c r="J335" s="220"/>
      <c r="K335" s="230" t="s">
        <v>112811</v>
      </c>
      <c r="L335" s="221"/>
      <c r="M335" s="222" t="s">
        <v>113143</v>
      </c>
      <c r="N335" s="223"/>
      <c r="O335" s="223"/>
      <c r="P335" s="224"/>
      <c r="Q335" s="224"/>
      <c r="R335" s="231">
        <f>246000000-200000000</f>
        <v>46000000</v>
      </c>
      <c r="S335" s="232"/>
      <c r="T335" s="227"/>
      <c r="U335" s="227"/>
      <c r="V335" s="374"/>
      <c r="W335" s="227"/>
      <c r="X335" s="227"/>
    </row>
    <row r="336" spans="2:24" x14ac:dyDescent="0.25">
      <c r="B336" s="212" t="s">
        <v>105516</v>
      </c>
      <c r="C336" s="212" t="s">
        <v>106106</v>
      </c>
      <c r="D336" s="233" t="s">
        <v>105924</v>
      </c>
      <c r="E336" s="212"/>
      <c r="F336" s="212"/>
      <c r="G336" s="212"/>
      <c r="H336" s="212"/>
      <c r="I336" s="212"/>
      <c r="J336" s="212"/>
      <c r="K336" s="212"/>
      <c r="L336" s="213"/>
      <c r="M336" s="214" t="s">
        <v>112822</v>
      </c>
      <c r="N336" s="215"/>
      <c r="O336" s="215" t="s">
        <v>112994</v>
      </c>
      <c r="P336" s="216"/>
      <c r="Q336" s="216"/>
      <c r="R336" s="217">
        <f>R337</f>
        <v>53000000</v>
      </c>
      <c r="S336" s="218"/>
      <c r="T336" s="219"/>
      <c r="U336" s="219"/>
      <c r="V336" s="373"/>
      <c r="W336" s="219"/>
      <c r="X336" s="219"/>
    </row>
    <row r="337" spans="2:25" x14ac:dyDescent="0.25">
      <c r="B337" s="220" t="s">
        <v>105516</v>
      </c>
      <c r="C337" s="220" t="s">
        <v>106106</v>
      </c>
      <c r="D337" s="234" t="s">
        <v>105924</v>
      </c>
      <c r="E337" s="220"/>
      <c r="F337" s="220"/>
      <c r="G337" s="220"/>
      <c r="H337" s="220"/>
      <c r="I337" s="220"/>
      <c r="J337" s="220"/>
      <c r="K337" s="221"/>
      <c r="L337" s="221"/>
      <c r="M337" s="222" t="s">
        <v>112822</v>
      </c>
      <c r="N337" s="223" t="s">
        <v>112994</v>
      </c>
      <c r="O337" s="223" t="s">
        <v>113029</v>
      </c>
      <c r="P337" s="224"/>
      <c r="Q337" s="224"/>
      <c r="R337" s="231">
        <f>R338+R340</f>
        <v>53000000</v>
      </c>
      <c r="S337" s="232"/>
      <c r="T337" s="227"/>
      <c r="U337" s="227"/>
      <c r="V337" s="374"/>
      <c r="W337" s="227"/>
      <c r="X337" s="227"/>
    </row>
    <row r="338" spans="2:25" x14ac:dyDescent="0.25">
      <c r="B338" s="251" t="s">
        <v>105516</v>
      </c>
      <c r="C338" s="251" t="s">
        <v>106106</v>
      </c>
      <c r="D338" s="326" t="s">
        <v>105924</v>
      </c>
      <c r="E338" s="327" t="s">
        <v>105520</v>
      </c>
      <c r="F338" s="251"/>
      <c r="G338" s="251"/>
      <c r="H338" s="251"/>
      <c r="I338" s="251"/>
      <c r="J338" s="251"/>
      <c r="K338" s="252"/>
      <c r="L338" s="252"/>
      <c r="M338" s="253" t="s">
        <v>112824</v>
      </c>
      <c r="N338" s="254" t="s">
        <v>112994</v>
      </c>
      <c r="O338" s="254" t="s">
        <v>113029</v>
      </c>
      <c r="P338" s="255"/>
      <c r="Q338" s="255"/>
      <c r="R338" s="328">
        <f>R339</f>
        <v>40000000</v>
      </c>
      <c r="S338" s="329"/>
      <c r="T338" s="330"/>
      <c r="U338" s="227"/>
      <c r="V338" s="374"/>
      <c r="W338" s="227"/>
      <c r="X338" s="227"/>
    </row>
    <row r="339" spans="2:25" x14ac:dyDescent="0.25">
      <c r="B339" s="338" t="s">
        <v>105516</v>
      </c>
      <c r="C339" s="338" t="s">
        <v>106106</v>
      </c>
      <c r="D339" s="341" t="s">
        <v>105924</v>
      </c>
      <c r="E339" s="339" t="s">
        <v>105520</v>
      </c>
      <c r="F339" s="339" t="s">
        <v>105538</v>
      </c>
      <c r="G339" s="220"/>
      <c r="H339" s="220"/>
      <c r="I339" s="220"/>
      <c r="J339" s="220"/>
      <c r="K339" s="221"/>
      <c r="L339" s="221"/>
      <c r="M339" s="222" t="s">
        <v>112830</v>
      </c>
      <c r="N339" s="223" t="s">
        <v>112994</v>
      </c>
      <c r="O339" s="223" t="s">
        <v>113029</v>
      </c>
      <c r="P339" s="224"/>
      <c r="Q339" s="224"/>
      <c r="R339" s="231">
        <v>40000000</v>
      </c>
      <c r="S339" s="232"/>
      <c r="T339" s="227"/>
      <c r="U339" s="227"/>
      <c r="V339" s="374"/>
      <c r="W339" s="227"/>
      <c r="X339" s="227"/>
    </row>
    <row r="340" spans="2:25" x14ac:dyDescent="0.25">
      <c r="B340" s="251" t="s">
        <v>105516</v>
      </c>
      <c r="C340" s="251" t="s">
        <v>106106</v>
      </c>
      <c r="D340" s="326" t="s">
        <v>105924</v>
      </c>
      <c r="E340" s="327" t="s">
        <v>105573</v>
      </c>
      <c r="F340" s="327"/>
      <c r="G340" s="251"/>
      <c r="H340" s="251"/>
      <c r="I340" s="251"/>
      <c r="J340" s="251"/>
      <c r="K340" s="252"/>
      <c r="L340" s="252"/>
      <c r="M340" s="253" t="s">
        <v>112832</v>
      </c>
      <c r="N340" s="254" t="s">
        <v>112994</v>
      </c>
      <c r="O340" s="254" t="s">
        <v>113029</v>
      </c>
      <c r="P340" s="255"/>
      <c r="Q340" s="255"/>
      <c r="R340" s="328">
        <f>R341</f>
        <v>13000000</v>
      </c>
      <c r="S340" s="329"/>
      <c r="T340" s="330"/>
      <c r="U340" s="227"/>
      <c r="V340" s="374"/>
      <c r="W340" s="227"/>
      <c r="X340" s="227"/>
    </row>
    <row r="341" spans="2:25" x14ac:dyDescent="0.25">
      <c r="B341" s="338" t="s">
        <v>105516</v>
      </c>
      <c r="C341" s="338" t="s">
        <v>106106</v>
      </c>
      <c r="D341" s="341" t="s">
        <v>105924</v>
      </c>
      <c r="E341" s="339" t="s">
        <v>105573</v>
      </c>
      <c r="F341" s="339" t="s">
        <v>105528</v>
      </c>
      <c r="G341" s="220"/>
      <c r="H341" s="220"/>
      <c r="I341" s="220"/>
      <c r="J341" s="220"/>
      <c r="K341" s="221"/>
      <c r="L341" s="221"/>
      <c r="M341" s="222" t="s">
        <v>112834</v>
      </c>
      <c r="N341" s="223" t="s">
        <v>112994</v>
      </c>
      <c r="O341" s="223" t="s">
        <v>113029</v>
      </c>
      <c r="P341" s="224"/>
      <c r="Q341" s="224"/>
      <c r="R341" s="231">
        <v>13000000</v>
      </c>
      <c r="S341" s="232"/>
      <c r="T341" s="227"/>
      <c r="U341" s="227"/>
      <c r="V341" s="374"/>
      <c r="W341" s="227"/>
      <c r="X341" s="227"/>
    </row>
    <row r="342" spans="2:25" x14ac:dyDescent="0.25">
      <c r="B342" s="235" t="s">
        <v>113144</v>
      </c>
      <c r="C342" s="235"/>
      <c r="D342" s="235"/>
      <c r="E342" s="235"/>
      <c r="F342" s="235"/>
      <c r="G342" s="235"/>
      <c r="H342" s="235"/>
      <c r="I342" s="235"/>
      <c r="J342" s="235"/>
      <c r="K342" s="236"/>
      <c r="L342" s="236"/>
      <c r="M342" s="237" t="s">
        <v>113145</v>
      </c>
      <c r="N342" s="238"/>
      <c r="O342" s="238" t="s">
        <v>112994</v>
      </c>
      <c r="P342" s="239"/>
      <c r="Q342" s="239"/>
      <c r="R342" s="240">
        <f>+R343</f>
        <v>38560000000</v>
      </c>
      <c r="S342" s="241"/>
      <c r="T342" s="242"/>
      <c r="U342" s="242"/>
      <c r="V342" s="376"/>
      <c r="W342" s="242"/>
      <c r="X342" s="242"/>
    </row>
    <row r="343" spans="2:25" ht="29.25" customHeight="1" x14ac:dyDescent="0.25">
      <c r="B343" s="243" t="s">
        <v>113144</v>
      </c>
      <c r="C343" s="243">
        <v>1505</v>
      </c>
      <c r="D343" s="243"/>
      <c r="E343" s="243"/>
      <c r="F343" s="243"/>
      <c r="G343" s="243"/>
      <c r="H343" s="243"/>
      <c r="I343" s="243"/>
      <c r="J343" s="243"/>
      <c r="K343" s="244"/>
      <c r="L343" s="244"/>
      <c r="M343" s="245" t="s">
        <v>113146</v>
      </c>
      <c r="N343" s="246"/>
      <c r="O343" s="246" t="s">
        <v>112994</v>
      </c>
      <c r="P343" s="247"/>
      <c r="Q343" s="247"/>
      <c r="R343" s="248">
        <f>+R344</f>
        <v>38560000000</v>
      </c>
      <c r="S343" s="249"/>
      <c r="T343" s="250"/>
      <c r="U343" s="250"/>
      <c r="V343" s="377"/>
      <c r="W343" s="250"/>
      <c r="X343" s="250"/>
    </row>
    <row r="344" spans="2:25" x14ac:dyDescent="0.25">
      <c r="B344" s="251" t="s">
        <v>113144</v>
      </c>
      <c r="C344" s="251">
        <v>1505</v>
      </c>
      <c r="D344" s="327" t="s">
        <v>113147</v>
      </c>
      <c r="E344" s="251"/>
      <c r="F344" s="251"/>
      <c r="G344" s="251"/>
      <c r="H344" s="251"/>
      <c r="I344" s="251"/>
      <c r="J344" s="251"/>
      <c r="K344" s="252"/>
      <c r="L344" s="252"/>
      <c r="M344" s="253" t="s">
        <v>113148</v>
      </c>
      <c r="N344" s="254"/>
      <c r="O344" s="254" t="s">
        <v>112994</v>
      </c>
      <c r="P344" s="255"/>
      <c r="Q344" s="255"/>
      <c r="R344" s="256">
        <f>R345+R373</f>
        <v>38560000000</v>
      </c>
      <c r="S344" s="257"/>
      <c r="T344" s="258"/>
      <c r="U344" s="258"/>
      <c r="V344" s="378"/>
      <c r="W344" s="258"/>
      <c r="X344" s="258"/>
    </row>
    <row r="345" spans="2:25" ht="32.25" customHeight="1" x14ac:dyDescent="0.25">
      <c r="B345" s="228" t="s">
        <v>113144</v>
      </c>
      <c r="C345" s="228">
        <v>1505</v>
      </c>
      <c r="D345" s="228" t="s">
        <v>113147</v>
      </c>
      <c r="E345" s="331" t="s">
        <v>105675</v>
      </c>
      <c r="F345" s="228"/>
      <c r="G345" s="228"/>
      <c r="H345" s="228"/>
      <c r="I345" s="228"/>
      <c r="J345" s="228"/>
      <c r="K345" s="61"/>
      <c r="L345" s="61"/>
      <c r="M345" s="62" t="s">
        <v>113329</v>
      </c>
      <c r="N345" s="63"/>
      <c r="O345" s="63" t="s">
        <v>112994</v>
      </c>
      <c r="P345" s="64"/>
      <c r="Q345" s="64"/>
      <c r="R345" s="65">
        <f>R346</f>
        <v>20795000000</v>
      </c>
      <c r="S345" s="66"/>
      <c r="T345" s="67"/>
      <c r="U345" s="63" t="s">
        <v>112994</v>
      </c>
      <c r="V345" s="361" t="s">
        <v>112994</v>
      </c>
      <c r="W345" s="64"/>
      <c r="X345" s="64"/>
    </row>
    <row r="346" spans="2:25" ht="41.25" customHeight="1" x14ac:dyDescent="0.25">
      <c r="B346" s="228" t="s">
        <v>113144</v>
      </c>
      <c r="C346" s="228">
        <v>1505</v>
      </c>
      <c r="D346" s="228" t="s">
        <v>113147</v>
      </c>
      <c r="E346" s="331" t="s">
        <v>105675</v>
      </c>
      <c r="F346" s="228" t="s">
        <v>113338</v>
      </c>
      <c r="G346" s="228"/>
      <c r="H346" s="228"/>
      <c r="I346" s="228"/>
      <c r="J346" s="228"/>
      <c r="K346" s="61"/>
      <c r="L346" s="61"/>
      <c r="M346" s="62" t="s">
        <v>113339</v>
      </c>
      <c r="N346" s="63"/>
      <c r="O346" s="63"/>
      <c r="P346" s="64"/>
      <c r="Q346" s="64"/>
      <c r="R346" s="65">
        <f>R347</f>
        <v>20795000000</v>
      </c>
      <c r="S346" s="66"/>
      <c r="T346" s="67"/>
      <c r="U346" s="63" t="s">
        <v>112994</v>
      </c>
      <c r="V346" s="361" t="s">
        <v>112994</v>
      </c>
      <c r="W346" s="64"/>
      <c r="X346" s="64"/>
    </row>
    <row r="347" spans="2:25" ht="63.75" customHeight="1" x14ac:dyDescent="0.25">
      <c r="B347" s="335" t="s">
        <v>113144</v>
      </c>
      <c r="C347" s="335">
        <v>1505</v>
      </c>
      <c r="D347" s="335" t="s">
        <v>113147</v>
      </c>
      <c r="E347" s="336" t="s">
        <v>105675</v>
      </c>
      <c r="F347" s="335" t="s">
        <v>113338</v>
      </c>
      <c r="G347" s="335">
        <v>1505006</v>
      </c>
      <c r="H347" s="261"/>
      <c r="I347" s="261"/>
      <c r="J347" s="261"/>
      <c r="K347" s="261"/>
      <c r="L347" s="261"/>
      <c r="M347" s="33" t="s">
        <v>113340</v>
      </c>
      <c r="N347" s="262"/>
      <c r="O347" s="262" t="s">
        <v>112994</v>
      </c>
      <c r="P347" s="263"/>
      <c r="Q347" s="263"/>
      <c r="R347" s="267">
        <f>R348</f>
        <v>20795000000</v>
      </c>
      <c r="S347" s="268"/>
      <c r="T347" s="269"/>
      <c r="U347" s="269"/>
      <c r="V347" s="379"/>
      <c r="W347" s="269"/>
      <c r="X347" s="269"/>
      <c r="Y347" s="325"/>
    </row>
    <row r="348" spans="2:25" ht="63.75" customHeight="1" x14ac:dyDescent="0.25">
      <c r="B348" s="343" t="s">
        <v>113144</v>
      </c>
      <c r="C348" s="343">
        <v>1505</v>
      </c>
      <c r="D348" s="343" t="s">
        <v>113147</v>
      </c>
      <c r="E348" s="344" t="s">
        <v>105675</v>
      </c>
      <c r="F348" s="343" t="s">
        <v>113338</v>
      </c>
      <c r="G348" s="343">
        <v>1505006</v>
      </c>
      <c r="H348" s="343" t="s">
        <v>105573</v>
      </c>
      <c r="I348" s="343"/>
      <c r="J348" s="343"/>
      <c r="K348" s="343"/>
      <c r="L348" s="343"/>
      <c r="M348" s="345" t="s">
        <v>113341</v>
      </c>
      <c r="N348" s="79"/>
      <c r="O348" s="79"/>
      <c r="P348" s="80"/>
      <c r="Q348" s="80"/>
      <c r="R348" s="81">
        <f>SUM(R349:R372)</f>
        <v>20795000000</v>
      </c>
      <c r="S348" s="82"/>
      <c r="T348" s="346"/>
      <c r="U348" s="269"/>
      <c r="V348" s="379"/>
      <c r="W348" s="269"/>
      <c r="X348" s="269"/>
      <c r="Y348" s="325"/>
    </row>
    <row r="349" spans="2:25" ht="27" customHeight="1" x14ac:dyDescent="0.25">
      <c r="B349" s="84"/>
      <c r="C349" s="85"/>
      <c r="D349" s="85"/>
      <c r="E349" s="85"/>
      <c r="F349" s="85"/>
      <c r="G349" s="85"/>
      <c r="H349" s="85"/>
      <c r="I349" s="85"/>
      <c r="J349" s="86"/>
      <c r="K349" s="86" t="s">
        <v>113158</v>
      </c>
      <c r="L349" s="332" t="s">
        <v>113149</v>
      </c>
      <c r="M349" s="88" t="s">
        <v>113157</v>
      </c>
      <c r="N349" s="89">
        <v>45163</v>
      </c>
      <c r="O349" s="89" t="s">
        <v>113008</v>
      </c>
      <c r="P349" s="90" t="s">
        <v>113020</v>
      </c>
      <c r="Q349" s="90" t="s">
        <v>113283</v>
      </c>
      <c r="R349" s="111">
        <f>1160000000+364924765</f>
        <v>1524924765</v>
      </c>
      <c r="S349" s="127"/>
      <c r="T349" s="88" t="s">
        <v>113151</v>
      </c>
      <c r="U349" s="300">
        <v>1224</v>
      </c>
      <c r="V349" s="301">
        <v>1524924765</v>
      </c>
      <c r="W349" s="301">
        <v>1524924765</v>
      </c>
      <c r="X349" s="302">
        <f t="shared" ref="X349:X372" si="19">W349-R349</f>
        <v>0</v>
      </c>
    </row>
    <row r="350" spans="2:25" ht="38.25" customHeight="1" x14ac:dyDescent="0.25">
      <c r="B350" s="84"/>
      <c r="C350" s="85"/>
      <c r="D350" s="85"/>
      <c r="E350" s="85"/>
      <c r="F350" s="85"/>
      <c r="G350" s="85"/>
      <c r="H350" s="85"/>
      <c r="I350" s="85"/>
      <c r="J350" s="86"/>
      <c r="K350" s="86" t="s">
        <v>113158</v>
      </c>
      <c r="L350" s="51">
        <v>81101500</v>
      </c>
      <c r="M350" s="88" t="s">
        <v>113159</v>
      </c>
      <c r="N350" s="89">
        <v>45222</v>
      </c>
      <c r="O350" s="89" t="s">
        <v>113068</v>
      </c>
      <c r="P350" s="90" t="s">
        <v>113020</v>
      </c>
      <c r="Q350" s="90" t="s">
        <v>113284</v>
      </c>
      <c r="R350" s="111">
        <f>177400000+39348068</f>
        <v>216748068</v>
      </c>
      <c r="S350" s="127"/>
      <c r="T350" s="88" t="s">
        <v>113151</v>
      </c>
      <c r="U350" s="300">
        <v>1324</v>
      </c>
      <c r="V350" s="301">
        <v>216748067.41999999</v>
      </c>
      <c r="W350" s="301">
        <v>216748067.41999999</v>
      </c>
      <c r="X350" s="302">
        <f t="shared" si="19"/>
        <v>-0.58000001311302185</v>
      </c>
    </row>
    <row r="351" spans="2:25" ht="44.25" customHeight="1" x14ac:dyDescent="0.25">
      <c r="B351" s="84"/>
      <c r="C351" s="85"/>
      <c r="D351" s="85"/>
      <c r="E351" s="85"/>
      <c r="F351" s="85"/>
      <c r="G351" s="85"/>
      <c r="H351" s="85"/>
      <c r="I351" s="85"/>
      <c r="J351" s="86"/>
      <c r="K351" s="86" t="s">
        <v>113158</v>
      </c>
      <c r="L351" s="87" t="s">
        <v>113149</v>
      </c>
      <c r="M351" s="88" t="s">
        <v>113162</v>
      </c>
      <c r="N351" s="89">
        <v>45163</v>
      </c>
      <c r="O351" s="89" t="s">
        <v>113058</v>
      </c>
      <c r="P351" s="90" t="s">
        <v>113020</v>
      </c>
      <c r="Q351" s="90" t="s">
        <v>113283</v>
      </c>
      <c r="R351" s="111">
        <f>1754000000-364924765-39348068-6166041</f>
        <v>1343561126</v>
      </c>
      <c r="S351" s="127"/>
      <c r="T351" s="88" t="s">
        <v>113151</v>
      </c>
      <c r="U351" s="300">
        <v>1224</v>
      </c>
      <c r="V351" s="301">
        <v>1343561126</v>
      </c>
      <c r="W351" s="301">
        <v>1343561126</v>
      </c>
      <c r="X351" s="302">
        <f t="shared" si="19"/>
        <v>0</v>
      </c>
    </row>
    <row r="352" spans="2:25" ht="30" x14ac:dyDescent="0.25">
      <c r="B352" s="84"/>
      <c r="C352" s="85"/>
      <c r="D352" s="85"/>
      <c r="E352" s="85"/>
      <c r="F352" s="85"/>
      <c r="G352" s="85"/>
      <c r="H352" s="85"/>
      <c r="I352" s="85"/>
      <c r="J352" s="86"/>
      <c r="K352" s="86" t="s">
        <v>113158</v>
      </c>
      <c r="L352" s="51">
        <v>81101500</v>
      </c>
      <c r="M352" s="88" t="s">
        <v>113163</v>
      </c>
      <c r="N352" s="89">
        <v>45222</v>
      </c>
      <c r="O352" s="89" t="s">
        <v>113058</v>
      </c>
      <c r="P352" s="90" t="s">
        <v>113020</v>
      </c>
      <c r="Q352" s="90" t="s">
        <v>113284</v>
      </c>
      <c r="R352" s="111">
        <f>178500000+6166041+21943297.82</f>
        <v>206609338.81999999</v>
      </c>
      <c r="S352" s="127"/>
      <c r="T352" s="88" t="s">
        <v>113151</v>
      </c>
      <c r="U352" s="300">
        <v>1324</v>
      </c>
      <c r="V352" s="301">
        <v>206609338.81999999</v>
      </c>
      <c r="W352" s="301">
        <v>206609338.81999999</v>
      </c>
      <c r="X352" s="302">
        <f t="shared" si="19"/>
        <v>0</v>
      </c>
    </row>
    <row r="353" spans="2:24" ht="25.5" customHeight="1" x14ac:dyDescent="0.25">
      <c r="B353" s="84"/>
      <c r="C353" s="85"/>
      <c r="D353" s="85"/>
      <c r="E353" s="85"/>
      <c r="F353" s="85"/>
      <c r="G353" s="85"/>
      <c r="H353" s="85"/>
      <c r="I353" s="85"/>
      <c r="J353" s="86"/>
      <c r="K353" s="86" t="s">
        <v>113158</v>
      </c>
      <c r="L353" s="87" t="s">
        <v>113149</v>
      </c>
      <c r="M353" s="88" t="s">
        <v>113185</v>
      </c>
      <c r="N353" s="89">
        <v>45163</v>
      </c>
      <c r="O353" s="89" t="s">
        <v>113058</v>
      </c>
      <c r="P353" s="90" t="s">
        <v>113020</v>
      </c>
      <c r="Q353" s="90" t="s">
        <v>113283</v>
      </c>
      <c r="R353" s="111">
        <f>1655616086.67-21943297.82-43835356.02</f>
        <v>1589837432.8300002</v>
      </c>
      <c r="S353" s="127"/>
      <c r="T353" s="88" t="s">
        <v>113151</v>
      </c>
      <c r="U353" s="300">
        <v>1224</v>
      </c>
      <c r="V353" s="301">
        <v>1394432587.52</v>
      </c>
      <c r="W353" s="301">
        <v>1394432587.52</v>
      </c>
      <c r="X353" s="302">
        <f t="shared" si="19"/>
        <v>-195404845.31000018</v>
      </c>
    </row>
    <row r="354" spans="2:24" ht="24" customHeight="1" x14ac:dyDescent="0.25">
      <c r="B354" s="84"/>
      <c r="C354" s="85"/>
      <c r="D354" s="85"/>
      <c r="E354" s="85"/>
      <c r="F354" s="85"/>
      <c r="G354" s="85"/>
      <c r="H354" s="85"/>
      <c r="I354" s="85"/>
      <c r="J354" s="86"/>
      <c r="K354" s="86" t="s">
        <v>113158</v>
      </c>
      <c r="L354" s="87">
        <v>81101500</v>
      </c>
      <c r="M354" s="88" t="s">
        <v>113186</v>
      </c>
      <c r="N354" s="89">
        <v>45222</v>
      </c>
      <c r="O354" s="89" t="s">
        <v>113058</v>
      </c>
      <c r="P354" s="90" t="s">
        <v>113020</v>
      </c>
      <c r="Q354" s="90" t="s">
        <v>113284</v>
      </c>
      <c r="R354" s="111">
        <f>160005447.8+43835356.02-195000000-404845.31</f>
        <v>8435958.5100000221</v>
      </c>
      <c r="S354" s="127"/>
      <c r="T354" s="88" t="s">
        <v>113151</v>
      </c>
      <c r="U354" s="300">
        <v>1324</v>
      </c>
      <c r="V354" s="301">
        <v>203840803.81999999</v>
      </c>
      <c r="W354" s="301">
        <v>203840803.81999999</v>
      </c>
      <c r="X354" s="302">
        <f t="shared" si="19"/>
        <v>195404845.30999997</v>
      </c>
    </row>
    <row r="355" spans="2:24" ht="36.75" customHeight="1" x14ac:dyDescent="0.25">
      <c r="B355" s="84"/>
      <c r="C355" s="85"/>
      <c r="D355" s="85"/>
      <c r="E355" s="85"/>
      <c r="F355" s="85"/>
      <c r="G355" s="85"/>
      <c r="H355" s="85"/>
      <c r="I355" s="85"/>
      <c r="J355" s="86"/>
      <c r="K355" s="86" t="s">
        <v>113158</v>
      </c>
      <c r="L355" s="87" t="s">
        <v>113149</v>
      </c>
      <c r="M355" s="88" t="s">
        <v>113187</v>
      </c>
      <c r="N355" s="89">
        <v>45651</v>
      </c>
      <c r="O355" s="89" t="s">
        <v>113058</v>
      </c>
      <c r="P355" s="90" t="s">
        <v>113020</v>
      </c>
      <c r="Q355" s="90" t="s">
        <v>113283</v>
      </c>
      <c r="R355" s="111">
        <f>2900000000-7147237-29002880-16094179</f>
        <v>2847755704</v>
      </c>
      <c r="S355" s="127"/>
      <c r="T355" s="88" t="s">
        <v>113151</v>
      </c>
      <c r="U355" s="300">
        <v>10224</v>
      </c>
      <c r="V355" s="301">
        <v>2847755704</v>
      </c>
      <c r="W355" s="301">
        <v>2577177213.77</v>
      </c>
      <c r="X355" s="302">
        <f t="shared" si="19"/>
        <v>-270578490.23000002</v>
      </c>
    </row>
    <row r="356" spans="2:24" ht="24" customHeight="1" x14ac:dyDescent="0.25">
      <c r="B356" s="84"/>
      <c r="C356" s="85"/>
      <c r="D356" s="85"/>
      <c r="E356" s="85"/>
      <c r="F356" s="85"/>
      <c r="G356" s="85"/>
      <c r="H356" s="85"/>
      <c r="I356" s="85"/>
      <c r="J356" s="86"/>
      <c r="K356" s="86" t="s">
        <v>113158</v>
      </c>
      <c r="L356" s="87">
        <v>81101500</v>
      </c>
      <c r="M356" s="88" t="s">
        <v>113188</v>
      </c>
      <c r="N356" s="89">
        <v>45651</v>
      </c>
      <c r="O356" s="89" t="s">
        <v>113058</v>
      </c>
      <c r="P356" s="90" t="s">
        <v>113020</v>
      </c>
      <c r="Q356" s="90" t="s">
        <v>113284</v>
      </c>
      <c r="R356" s="111">
        <f>300000000+8833032+1166968</f>
        <v>310000000</v>
      </c>
      <c r="S356" s="127"/>
      <c r="T356" s="88" t="s">
        <v>113151</v>
      </c>
      <c r="U356" s="300">
        <v>10624</v>
      </c>
      <c r="V356" s="301">
        <v>310000000</v>
      </c>
      <c r="W356" s="301">
        <v>309900990</v>
      </c>
      <c r="X356" s="302">
        <f t="shared" si="19"/>
        <v>-99010</v>
      </c>
    </row>
    <row r="357" spans="2:24" ht="33.75" customHeight="1" x14ac:dyDescent="0.25">
      <c r="B357" s="84"/>
      <c r="C357" s="85"/>
      <c r="D357" s="85"/>
      <c r="E357" s="85"/>
      <c r="F357" s="85"/>
      <c r="G357" s="85"/>
      <c r="H357" s="85"/>
      <c r="I357" s="85"/>
      <c r="J357" s="86"/>
      <c r="K357" s="86" t="s">
        <v>113158</v>
      </c>
      <c r="L357" s="87" t="s">
        <v>113149</v>
      </c>
      <c r="M357" s="88" t="s">
        <v>113189</v>
      </c>
      <c r="N357" s="89">
        <v>45651</v>
      </c>
      <c r="O357" s="89" t="s">
        <v>113058</v>
      </c>
      <c r="P357" s="90" t="s">
        <v>113020</v>
      </c>
      <c r="Q357" s="90" t="s">
        <v>113283</v>
      </c>
      <c r="R357" s="111">
        <f>2800000000+88483032</f>
        <v>2888483032</v>
      </c>
      <c r="S357" s="127"/>
      <c r="T357" s="88" t="s">
        <v>113151</v>
      </c>
      <c r="U357" s="300">
        <v>10024</v>
      </c>
      <c r="V357" s="301">
        <v>2888483032</v>
      </c>
      <c r="W357" s="301">
        <v>2833136214</v>
      </c>
      <c r="X357" s="302">
        <f t="shared" si="19"/>
        <v>-55346818</v>
      </c>
    </row>
    <row r="358" spans="2:24" ht="26.25" customHeight="1" x14ac:dyDescent="0.25">
      <c r="B358" s="84"/>
      <c r="C358" s="85"/>
      <c r="D358" s="85"/>
      <c r="E358" s="85"/>
      <c r="F358" s="85"/>
      <c r="G358" s="85"/>
      <c r="H358" s="85"/>
      <c r="I358" s="85"/>
      <c r="J358" s="86"/>
      <c r="K358" s="86" t="s">
        <v>113158</v>
      </c>
      <c r="L358" s="87">
        <v>81101500</v>
      </c>
      <c r="M358" s="88" t="s">
        <v>113190</v>
      </c>
      <c r="N358" s="89">
        <v>45651</v>
      </c>
      <c r="O358" s="89" t="s">
        <v>113058</v>
      </c>
      <c r="P358" s="90" t="s">
        <v>113020</v>
      </c>
      <c r="Q358" s="90" t="s">
        <v>113284</v>
      </c>
      <c r="R358" s="111">
        <f>290000000+7147237+22852763</f>
        <v>320000000</v>
      </c>
      <c r="S358" s="127"/>
      <c r="T358" s="88" t="s">
        <v>113151</v>
      </c>
      <c r="U358" s="300">
        <v>10424</v>
      </c>
      <c r="V358" s="301">
        <v>320000000</v>
      </c>
      <c r="W358" s="301">
        <v>320000000</v>
      </c>
      <c r="X358" s="302">
        <f t="shared" si="19"/>
        <v>0</v>
      </c>
    </row>
    <row r="359" spans="2:24" ht="24" customHeight="1" x14ac:dyDescent="0.25">
      <c r="B359" s="84"/>
      <c r="C359" s="85"/>
      <c r="D359" s="85"/>
      <c r="E359" s="85"/>
      <c r="F359" s="85"/>
      <c r="G359" s="85"/>
      <c r="H359" s="85"/>
      <c r="I359" s="85"/>
      <c r="J359" s="86"/>
      <c r="K359" s="86" t="s">
        <v>113158</v>
      </c>
      <c r="L359" s="87" t="s">
        <v>113149</v>
      </c>
      <c r="M359" s="88" t="s">
        <v>113191</v>
      </c>
      <c r="N359" s="89">
        <v>45651</v>
      </c>
      <c r="O359" s="89" t="s">
        <v>113167</v>
      </c>
      <c r="P359" s="90" t="s">
        <v>113020</v>
      </c>
      <c r="Q359" s="90" t="s">
        <v>113283</v>
      </c>
      <c r="R359" s="111">
        <f>2400000000-8833032-22852763</f>
        <v>2368314205</v>
      </c>
      <c r="S359" s="127"/>
      <c r="T359" s="88" t="s">
        <v>113151</v>
      </c>
      <c r="U359" s="300">
        <v>9924</v>
      </c>
      <c r="V359" s="301">
        <v>2368314205</v>
      </c>
      <c r="W359" s="301">
        <v>2317110975.3299999</v>
      </c>
      <c r="X359" s="302">
        <f t="shared" si="19"/>
        <v>-51203229.670000076</v>
      </c>
    </row>
    <row r="360" spans="2:24" ht="26.25" customHeight="1" x14ac:dyDescent="0.25">
      <c r="B360" s="84"/>
      <c r="C360" s="85"/>
      <c r="D360" s="85"/>
      <c r="E360" s="85"/>
      <c r="F360" s="85"/>
      <c r="G360" s="85"/>
      <c r="H360" s="85"/>
      <c r="I360" s="85"/>
      <c r="J360" s="86"/>
      <c r="K360" s="86" t="s">
        <v>113158</v>
      </c>
      <c r="L360" s="87">
        <v>81101500</v>
      </c>
      <c r="M360" s="88" t="s">
        <v>113192</v>
      </c>
      <c r="N360" s="89">
        <v>45651</v>
      </c>
      <c r="O360" s="89" t="s">
        <v>113167</v>
      </c>
      <c r="P360" s="90" t="s">
        <v>113020</v>
      </c>
      <c r="Q360" s="90" t="s">
        <v>113284</v>
      </c>
      <c r="R360" s="111">
        <f>270000000+29002880</f>
        <v>299002880</v>
      </c>
      <c r="S360" s="127"/>
      <c r="T360" s="88" t="s">
        <v>113151</v>
      </c>
      <c r="U360" s="300">
        <v>10324</v>
      </c>
      <c r="V360" s="301">
        <v>299002880</v>
      </c>
      <c r="W360" s="301">
        <v>294705880</v>
      </c>
      <c r="X360" s="302">
        <f t="shared" si="19"/>
        <v>-4297000</v>
      </c>
    </row>
    <row r="361" spans="2:24" ht="27.75" customHeight="1" x14ac:dyDescent="0.25">
      <c r="B361" s="84"/>
      <c r="C361" s="85"/>
      <c r="D361" s="85"/>
      <c r="E361" s="85"/>
      <c r="F361" s="85"/>
      <c r="G361" s="85"/>
      <c r="H361" s="85"/>
      <c r="I361" s="85"/>
      <c r="J361" s="86"/>
      <c r="K361" s="86" t="s">
        <v>113158</v>
      </c>
      <c r="L361" s="87" t="s">
        <v>113149</v>
      </c>
      <c r="M361" s="88" t="s">
        <v>113160</v>
      </c>
      <c r="N361" s="89">
        <v>45651</v>
      </c>
      <c r="O361" s="89" t="s">
        <v>113167</v>
      </c>
      <c r="P361" s="90" t="s">
        <v>113020</v>
      </c>
      <c r="Q361" s="90" t="s">
        <v>113283</v>
      </c>
      <c r="R361" s="111">
        <f>2900000000-1166968-88483032</f>
        <v>2810350000</v>
      </c>
      <c r="S361" s="127"/>
      <c r="T361" s="88" t="s">
        <v>113151</v>
      </c>
      <c r="U361" s="300">
        <v>10124</v>
      </c>
      <c r="V361" s="301">
        <v>2810350000</v>
      </c>
      <c r="W361" s="301">
        <v>2543466299.3800001</v>
      </c>
      <c r="X361" s="302">
        <f t="shared" si="19"/>
        <v>-266883700.61999989</v>
      </c>
    </row>
    <row r="362" spans="2:24" ht="30" x14ac:dyDescent="0.25">
      <c r="B362" s="84"/>
      <c r="C362" s="85"/>
      <c r="D362" s="85"/>
      <c r="E362" s="85"/>
      <c r="F362" s="85"/>
      <c r="G362" s="85"/>
      <c r="H362" s="85"/>
      <c r="I362" s="85"/>
      <c r="J362" s="86"/>
      <c r="K362" s="86" t="s">
        <v>113158</v>
      </c>
      <c r="L362" s="87">
        <v>81101500</v>
      </c>
      <c r="M362" s="88" t="s">
        <v>113161</v>
      </c>
      <c r="N362" s="89">
        <v>45651</v>
      </c>
      <c r="O362" s="89" t="s">
        <v>113167</v>
      </c>
      <c r="P362" s="90" t="s">
        <v>113020</v>
      </c>
      <c r="Q362" s="90" t="s">
        <v>113284</v>
      </c>
      <c r="R362" s="111">
        <f>300000000+16094179</f>
        <v>316094179</v>
      </c>
      <c r="S362" s="127"/>
      <c r="T362" s="88" t="s">
        <v>113151</v>
      </c>
      <c r="U362" s="300">
        <v>10524</v>
      </c>
      <c r="V362" s="301">
        <v>316094179</v>
      </c>
      <c r="W362" s="301">
        <v>315898590</v>
      </c>
      <c r="X362" s="302">
        <f t="shared" si="19"/>
        <v>-195589</v>
      </c>
    </row>
    <row r="363" spans="2:24" ht="35.25" customHeight="1" x14ac:dyDescent="0.25">
      <c r="B363" s="84"/>
      <c r="C363" s="85"/>
      <c r="D363" s="85"/>
      <c r="E363" s="85"/>
      <c r="F363" s="85"/>
      <c r="G363" s="85"/>
      <c r="H363" s="85"/>
      <c r="I363" s="85"/>
      <c r="J363" s="86"/>
      <c r="K363" s="86" t="s">
        <v>113158</v>
      </c>
      <c r="L363" s="87" t="s">
        <v>113149</v>
      </c>
      <c r="M363" s="88" t="s">
        <v>113193</v>
      </c>
      <c r="N363" s="89">
        <v>45641</v>
      </c>
      <c r="O363" s="89" t="s">
        <v>113167</v>
      </c>
      <c r="P363" s="90" t="s">
        <v>113009</v>
      </c>
      <c r="Q363" s="90" t="s">
        <v>113283</v>
      </c>
      <c r="R363" s="111">
        <f>1100000000-200000000+195000000</f>
        <v>1095000000</v>
      </c>
      <c r="S363" s="288">
        <v>3191426295.0047998</v>
      </c>
      <c r="T363" s="88" t="s">
        <v>113151</v>
      </c>
      <c r="U363" s="300">
        <v>25624</v>
      </c>
      <c r="V363" s="380">
        <f>1100000000-200000000+195000000</f>
        <v>1095000000</v>
      </c>
      <c r="W363" s="301"/>
      <c r="X363" s="302">
        <f t="shared" si="19"/>
        <v>-1095000000</v>
      </c>
    </row>
    <row r="364" spans="2:24" ht="25.5" customHeight="1" x14ac:dyDescent="0.25">
      <c r="B364" s="84"/>
      <c r="C364" s="85"/>
      <c r="D364" s="85"/>
      <c r="E364" s="85"/>
      <c r="F364" s="85"/>
      <c r="G364" s="85"/>
      <c r="H364" s="85"/>
      <c r="I364" s="85"/>
      <c r="J364" s="86"/>
      <c r="K364" s="86" t="s">
        <v>113158</v>
      </c>
      <c r="L364" s="87">
        <v>81101500</v>
      </c>
      <c r="M364" s="88" t="s">
        <v>113194</v>
      </c>
      <c r="N364" s="89">
        <v>45641</v>
      </c>
      <c r="O364" s="89" t="s">
        <v>113167</v>
      </c>
      <c r="P364" s="90" t="s">
        <v>113009</v>
      </c>
      <c r="Q364" s="90" t="s">
        <v>113284</v>
      </c>
      <c r="R364" s="111">
        <v>160000000</v>
      </c>
      <c r="S364" s="288">
        <v>285450049</v>
      </c>
      <c r="T364" s="88" t="s">
        <v>113151</v>
      </c>
      <c r="U364" s="300">
        <v>25624</v>
      </c>
      <c r="V364" s="380">
        <v>160000000</v>
      </c>
      <c r="W364" s="301"/>
      <c r="X364" s="302">
        <f t="shared" si="19"/>
        <v>-160000000</v>
      </c>
    </row>
    <row r="365" spans="2:24" ht="45" x14ac:dyDescent="0.25">
      <c r="B365" s="84"/>
      <c r="C365" s="85"/>
      <c r="D365" s="85"/>
      <c r="E365" s="85"/>
      <c r="F365" s="85"/>
      <c r="G365" s="85"/>
      <c r="H365" s="85"/>
      <c r="I365" s="85"/>
      <c r="J365" s="86"/>
      <c r="K365" s="86" t="s">
        <v>113158</v>
      </c>
      <c r="L365" s="87" t="s">
        <v>113149</v>
      </c>
      <c r="M365" s="88" t="s">
        <v>113195</v>
      </c>
      <c r="N365" s="89">
        <v>45641</v>
      </c>
      <c r="O365" s="89" t="s">
        <v>113167</v>
      </c>
      <c r="P365" s="90" t="s">
        <v>113020</v>
      </c>
      <c r="Q365" s="90" t="s">
        <v>113283</v>
      </c>
      <c r="R365" s="111">
        <f>1000000000-100000000</f>
        <v>900000000</v>
      </c>
      <c r="S365" s="288">
        <v>873272719.76999998</v>
      </c>
      <c r="T365" s="88" t="s">
        <v>113151</v>
      </c>
      <c r="U365" s="300">
        <v>25624</v>
      </c>
      <c r="V365" s="380">
        <f>1000000000-100000000</f>
        <v>900000000</v>
      </c>
      <c r="W365" s="301"/>
      <c r="X365" s="302">
        <f t="shared" si="19"/>
        <v>-900000000</v>
      </c>
    </row>
    <row r="366" spans="2:24" ht="30" x14ac:dyDescent="0.25">
      <c r="B366" s="84"/>
      <c r="C366" s="85"/>
      <c r="D366" s="85"/>
      <c r="E366" s="85"/>
      <c r="F366" s="85"/>
      <c r="G366" s="85"/>
      <c r="H366" s="85"/>
      <c r="I366" s="85"/>
      <c r="J366" s="86"/>
      <c r="K366" s="86" t="s">
        <v>113158</v>
      </c>
      <c r="L366" s="87">
        <v>81101500</v>
      </c>
      <c r="M366" s="88" t="s">
        <v>113196</v>
      </c>
      <c r="N366" s="89">
        <v>45641</v>
      </c>
      <c r="O366" s="89" t="s">
        <v>113167</v>
      </c>
      <c r="P366" s="90" t="s">
        <v>113020</v>
      </c>
      <c r="Q366" s="90" t="s">
        <v>113284</v>
      </c>
      <c r="R366" s="111">
        <v>80000000</v>
      </c>
      <c r="S366" s="288">
        <v>104065708</v>
      </c>
      <c r="T366" s="88" t="s">
        <v>113151</v>
      </c>
      <c r="U366" s="300">
        <v>25624</v>
      </c>
      <c r="V366" s="380">
        <v>80000000</v>
      </c>
      <c r="W366" s="301"/>
      <c r="X366" s="302">
        <f t="shared" si="19"/>
        <v>-80000000</v>
      </c>
    </row>
    <row r="367" spans="2:24" ht="45" x14ac:dyDescent="0.25">
      <c r="B367" s="84"/>
      <c r="C367" s="85"/>
      <c r="D367" s="85"/>
      <c r="E367" s="85"/>
      <c r="F367" s="85"/>
      <c r="G367" s="85"/>
      <c r="H367" s="85"/>
      <c r="I367" s="85"/>
      <c r="J367" s="86"/>
      <c r="K367" s="86" t="s">
        <v>113158</v>
      </c>
      <c r="L367" s="87" t="s">
        <v>113149</v>
      </c>
      <c r="M367" s="88" t="s">
        <v>113197</v>
      </c>
      <c r="N367" s="89">
        <v>45641</v>
      </c>
      <c r="O367" s="89" t="s">
        <v>113167</v>
      </c>
      <c r="P367" s="90" t="s">
        <v>113020</v>
      </c>
      <c r="Q367" s="90" t="s">
        <v>113283</v>
      </c>
      <c r="R367" s="111">
        <f>1000000000-100000000</f>
        <v>900000000</v>
      </c>
      <c r="S367" s="288">
        <v>610274233.07000005</v>
      </c>
      <c r="T367" s="88" t="s">
        <v>113151</v>
      </c>
      <c r="U367" s="300">
        <v>25624</v>
      </c>
      <c r="V367" s="380">
        <f>1000000000-100000000</f>
        <v>900000000</v>
      </c>
      <c r="W367" s="301"/>
      <c r="X367" s="302">
        <f t="shared" si="19"/>
        <v>-900000000</v>
      </c>
    </row>
    <row r="368" spans="2:24" ht="30" x14ac:dyDescent="0.25">
      <c r="B368" s="84"/>
      <c r="C368" s="85"/>
      <c r="D368" s="85"/>
      <c r="E368" s="85"/>
      <c r="F368" s="85"/>
      <c r="G368" s="85"/>
      <c r="H368" s="85"/>
      <c r="I368" s="85"/>
      <c r="J368" s="86"/>
      <c r="K368" s="86" t="s">
        <v>113158</v>
      </c>
      <c r="L368" s="87">
        <v>81101500</v>
      </c>
      <c r="M368" s="88" t="s">
        <v>113198</v>
      </c>
      <c r="N368" s="89">
        <v>45641</v>
      </c>
      <c r="O368" s="89" t="s">
        <v>113167</v>
      </c>
      <c r="P368" s="90" t="s">
        <v>113020</v>
      </c>
      <c r="Q368" s="90" t="s">
        <v>113284</v>
      </c>
      <c r="R368" s="111">
        <v>120000000</v>
      </c>
      <c r="S368" s="288">
        <v>50000000</v>
      </c>
      <c r="T368" s="88" t="s">
        <v>113151</v>
      </c>
      <c r="U368" s="300">
        <v>25624</v>
      </c>
      <c r="V368" s="380">
        <v>120000000</v>
      </c>
      <c r="W368" s="301"/>
      <c r="X368" s="302">
        <f t="shared" si="19"/>
        <v>-120000000</v>
      </c>
    </row>
    <row r="369" spans="2:25" ht="30" x14ac:dyDescent="0.25">
      <c r="B369" s="84"/>
      <c r="C369" s="85"/>
      <c r="D369" s="85"/>
      <c r="E369" s="85"/>
      <c r="F369" s="85"/>
      <c r="G369" s="85"/>
      <c r="H369" s="85"/>
      <c r="I369" s="85"/>
      <c r="J369" s="86"/>
      <c r="K369" s="86" t="s">
        <v>113158</v>
      </c>
      <c r="L369" s="87">
        <v>90121600</v>
      </c>
      <c r="M369" s="88" t="s">
        <v>113156</v>
      </c>
      <c r="N369" s="89">
        <v>45311</v>
      </c>
      <c r="O369" s="89" t="s">
        <v>113058</v>
      </c>
      <c r="P369" s="90" t="s">
        <v>113009</v>
      </c>
      <c r="Q369" s="90" t="s">
        <v>113274</v>
      </c>
      <c r="R369" s="111">
        <v>40000000</v>
      </c>
      <c r="S369" s="127"/>
      <c r="T369" s="88" t="s">
        <v>113151</v>
      </c>
      <c r="U369" s="300">
        <v>12324</v>
      </c>
      <c r="V369" s="301">
        <v>40000000</v>
      </c>
      <c r="W369" s="301">
        <v>40000000</v>
      </c>
      <c r="X369" s="302">
        <f t="shared" si="19"/>
        <v>0</v>
      </c>
    </row>
    <row r="370" spans="2:25" ht="27" customHeight="1" x14ac:dyDescent="0.25">
      <c r="B370" s="84"/>
      <c r="C370" s="85"/>
      <c r="D370" s="85"/>
      <c r="E370" s="85"/>
      <c r="F370" s="85"/>
      <c r="G370" s="85"/>
      <c r="H370" s="85"/>
      <c r="I370" s="85"/>
      <c r="J370" s="86"/>
      <c r="K370" s="86"/>
      <c r="L370" s="87"/>
      <c r="M370" s="88" t="s">
        <v>113286</v>
      </c>
      <c r="N370" s="89" t="s">
        <v>113029</v>
      </c>
      <c r="O370" s="89" t="s">
        <v>113029</v>
      </c>
      <c r="P370" s="89" t="s">
        <v>113029</v>
      </c>
      <c r="Q370" s="89" t="s">
        <v>113029</v>
      </c>
      <c r="R370" s="111">
        <f>200000000+100000000</f>
        <v>300000000</v>
      </c>
      <c r="S370" s="127"/>
      <c r="T370" s="88"/>
      <c r="U370" s="303"/>
      <c r="V370" s="301"/>
      <c r="W370" s="301"/>
      <c r="X370" s="302">
        <f t="shared" si="19"/>
        <v>-300000000</v>
      </c>
    </row>
    <row r="371" spans="2:25" ht="34.5" customHeight="1" x14ac:dyDescent="0.25">
      <c r="B371" s="84"/>
      <c r="C371" s="85"/>
      <c r="D371" s="85"/>
      <c r="E371" s="85"/>
      <c r="F371" s="85"/>
      <c r="G371" s="85"/>
      <c r="H371" s="85"/>
      <c r="I371" s="85"/>
      <c r="J371" s="86"/>
      <c r="K371" s="86"/>
      <c r="L371" s="87"/>
      <c r="M371" s="88" t="s">
        <v>113285</v>
      </c>
      <c r="N371" s="89" t="s">
        <v>113029</v>
      </c>
      <c r="O371" s="89" t="s">
        <v>113029</v>
      </c>
      <c r="P371" s="89" t="s">
        <v>113029</v>
      </c>
      <c r="Q371" s="89" t="s">
        <v>113029</v>
      </c>
      <c r="R371" s="111">
        <v>100000000</v>
      </c>
      <c r="S371" s="127"/>
      <c r="T371" s="88"/>
      <c r="U371" s="304" t="s">
        <v>113306</v>
      </c>
      <c r="V371" s="301">
        <f>13703773+1445458</f>
        <v>15149231</v>
      </c>
      <c r="W371" s="301">
        <f>10000000+2900780+401504+401489+1445458</f>
        <v>15149231</v>
      </c>
      <c r="X371" s="302">
        <f t="shared" si="19"/>
        <v>-84850769</v>
      </c>
    </row>
    <row r="372" spans="2:25" ht="30" x14ac:dyDescent="0.25">
      <c r="B372" s="290"/>
      <c r="C372" s="291"/>
      <c r="D372" s="291"/>
      <c r="E372" s="291"/>
      <c r="F372" s="291"/>
      <c r="G372" s="291"/>
      <c r="H372" s="291"/>
      <c r="I372" s="291"/>
      <c r="J372" s="292"/>
      <c r="K372" s="292" t="s">
        <v>113158</v>
      </c>
      <c r="L372" s="87">
        <v>90111500</v>
      </c>
      <c r="M372" s="88" t="s">
        <v>113199</v>
      </c>
      <c r="N372" s="89">
        <v>45311</v>
      </c>
      <c r="O372" s="89" t="s">
        <v>113167</v>
      </c>
      <c r="P372" s="90" t="s">
        <v>113165</v>
      </c>
      <c r="Q372" s="90" t="s">
        <v>113029</v>
      </c>
      <c r="R372" s="111">
        <f>49478465.53+404845.31</f>
        <v>49883310.840000004</v>
      </c>
      <c r="S372" s="127"/>
      <c r="T372" s="88" t="s">
        <v>113151</v>
      </c>
      <c r="U372" s="300">
        <v>6724</v>
      </c>
      <c r="V372" s="301">
        <v>49478465.530000001</v>
      </c>
      <c r="W372" s="301">
        <f>21583902+1613736</f>
        <v>23197638</v>
      </c>
      <c r="X372" s="302">
        <f t="shared" si="19"/>
        <v>-26685672.840000004</v>
      </c>
    </row>
    <row r="373" spans="2:25" ht="42.75" customHeight="1" x14ac:dyDescent="0.25">
      <c r="B373" s="228" t="s">
        <v>113144</v>
      </c>
      <c r="C373" s="228">
        <v>1505</v>
      </c>
      <c r="D373" s="331" t="s">
        <v>113147</v>
      </c>
      <c r="E373" s="331" t="s">
        <v>105917</v>
      </c>
      <c r="F373" s="228"/>
      <c r="G373" s="228"/>
      <c r="H373" s="228"/>
      <c r="I373" s="228"/>
      <c r="J373" s="228"/>
      <c r="K373" s="61"/>
      <c r="L373" s="61"/>
      <c r="M373" s="62" t="s">
        <v>113330</v>
      </c>
      <c r="N373" s="63"/>
      <c r="O373" s="63" t="s">
        <v>112994</v>
      </c>
      <c r="P373" s="64"/>
      <c r="Q373" s="64"/>
      <c r="R373" s="65">
        <f>R374</f>
        <v>17765000000</v>
      </c>
      <c r="S373" s="259"/>
      <c r="T373" s="260"/>
      <c r="U373" s="63" t="s">
        <v>112994</v>
      </c>
      <c r="V373" s="361" t="s">
        <v>112994</v>
      </c>
      <c r="W373" s="64"/>
      <c r="X373" s="64"/>
    </row>
    <row r="374" spans="2:25" ht="42.75" customHeight="1" x14ac:dyDescent="0.25">
      <c r="B374" s="228" t="s">
        <v>113144</v>
      </c>
      <c r="C374" s="228">
        <v>1505</v>
      </c>
      <c r="D374" s="331" t="s">
        <v>113147</v>
      </c>
      <c r="E374" s="331" t="s">
        <v>105917</v>
      </c>
      <c r="F374" s="228" t="s">
        <v>113338</v>
      </c>
      <c r="G374" s="228"/>
      <c r="H374" s="228"/>
      <c r="I374" s="228"/>
      <c r="J374" s="228"/>
      <c r="K374" s="61"/>
      <c r="L374" s="61"/>
      <c r="M374" s="62" t="s">
        <v>113339</v>
      </c>
      <c r="N374" s="63"/>
      <c r="O374" s="63"/>
      <c r="P374" s="64"/>
      <c r="Q374" s="64"/>
      <c r="R374" s="65">
        <f>R375</f>
        <v>17765000000</v>
      </c>
      <c r="S374" s="259"/>
      <c r="T374" s="260"/>
      <c r="U374" s="63" t="s">
        <v>112994</v>
      </c>
      <c r="V374" s="361" t="s">
        <v>112994</v>
      </c>
      <c r="W374" s="64"/>
      <c r="X374" s="64"/>
    </row>
    <row r="375" spans="2:25" ht="51.75" customHeight="1" x14ac:dyDescent="0.25">
      <c r="B375" s="335" t="s">
        <v>113144</v>
      </c>
      <c r="C375" s="335">
        <v>1505</v>
      </c>
      <c r="D375" s="335" t="s">
        <v>113147</v>
      </c>
      <c r="E375" s="336" t="s">
        <v>105917</v>
      </c>
      <c r="F375" s="335" t="s">
        <v>113338</v>
      </c>
      <c r="G375" s="335">
        <v>1505006</v>
      </c>
      <c r="H375" s="333"/>
      <c r="I375" s="261"/>
      <c r="J375" s="261"/>
      <c r="K375" s="32"/>
      <c r="L375" s="32"/>
      <c r="M375" s="33" t="s">
        <v>113340</v>
      </c>
      <c r="N375" s="262"/>
      <c r="O375" s="262" t="s">
        <v>112994</v>
      </c>
      <c r="P375" s="263"/>
      <c r="Q375" s="263"/>
      <c r="R375" s="36">
        <f>R376</f>
        <v>17765000000</v>
      </c>
      <c r="S375" s="37"/>
      <c r="T375" s="264"/>
      <c r="U375" s="264"/>
      <c r="V375" s="381"/>
      <c r="W375" s="264"/>
      <c r="X375" s="264"/>
      <c r="Y375" s="325"/>
    </row>
    <row r="376" spans="2:25" ht="51.75" customHeight="1" x14ac:dyDescent="0.25">
      <c r="B376" s="261" t="s">
        <v>113144</v>
      </c>
      <c r="C376" s="261">
        <v>1505</v>
      </c>
      <c r="D376" s="261" t="s">
        <v>113147</v>
      </c>
      <c r="E376" s="344" t="s">
        <v>105917</v>
      </c>
      <c r="F376" s="343" t="s">
        <v>113338</v>
      </c>
      <c r="G376" s="343">
        <v>1505006</v>
      </c>
      <c r="H376" s="344" t="s">
        <v>105573</v>
      </c>
      <c r="I376" s="343"/>
      <c r="J376" s="343"/>
      <c r="K376" s="347"/>
      <c r="L376" s="347"/>
      <c r="M376" s="345" t="s">
        <v>113331</v>
      </c>
      <c r="N376" s="79"/>
      <c r="O376" s="79"/>
      <c r="P376" s="80"/>
      <c r="Q376" s="80"/>
      <c r="R376" s="348">
        <f>SUM(R377:R390)</f>
        <v>17765000000</v>
      </c>
      <c r="S376" s="349"/>
      <c r="T376" s="350"/>
      <c r="U376" s="264"/>
      <c r="V376" s="382"/>
      <c r="W376" s="334"/>
      <c r="X376" s="264"/>
      <c r="Y376" s="325"/>
    </row>
    <row r="377" spans="2:25" ht="45" x14ac:dyDescent="0.25">
      <c r="B377" s="84"/>
      <c r="C377" s="85"/>
      <c r="D377" s="85"/>
      <c r="E377" s="85"/>
      <c r="F377" s="85"/>
      <c r="G377" s="85"/>
      <c r="H377" s="85"/>
      <c r="I377" s="85"/>
      <c r="J377" s="86"/>
      <c r="K377" s="86" t="s">
        <v>113152</v>
      </c>
      <c r="L377" s="87" t="s">
        <v>113149</v>
      </c>
      <c r="M377" s="88" t="s">
        <v>113150</v>
      </c>
      <c r="N377" s="89">
        <v>45292</v>
      </c>
      <c r="O377" s="89" t="s">
        <v>113167</v>
      </c>
      <c r="P377" s="121" t="s">
        <v>113066</v>
      </c>
      <c r="Q377" s="90" t="s">
        <v>113283</v>
      </c>
      <c r="R377" s="111">
        <f>4138111605+1854760690+276453645.92</f>
        <v>6269325940.9200001</v>
      </c>
      <c r="S377" s="265"/>
      <c r="T377" s="266" t="s">
        <v>113151</v>
      </c>
      <c r="U377" s="304" t="s">
        <v>113305</v>
      </c>
      <c r="V377" s="311">
        <f>5173481333+819390962+276453645.92</f>
        <v>6269325940.9200001</v>
      </c>
      <c r="W377" s="311">
        <f>5173481333+819390962+276453645.92</f>
        <v>6269325940.9200001</v>
      </c>
      <c r="X377" s="302">
        <f t="shared" ref="X377:X390" si="20">W377-R377</f>
        <v>0</v>
      </c>
    </row>
    <row r="378" spans="2:25" ht="30" x14ac:dyDescent="0.25">
      <c r="B378" s="84"/>
      <c r="C378" s="85"/>
      <c r="D378" s="85"/>
      <c r="E378" s="85"/>
      <c r="F378" s="85"/>
      <c r="G378" s="85"/>
      <c r="H378" s="85"/>
      <c r="I378" s="85"/>
      <c r="J378" s="86"/>
      <c r="K378" s="86" t="s">
        <v>113152</v>
      </c>
      <c r="L378" s="87">
        <v>81101500</v>
      </c>
      <c r="M378" s="88" t="s">
        <v>113153</v>
      </c>
      <c r="N378" s="89">
        <v>45292</v>
      </c>
      <c r="O378" s="89" t="s">
        <v>113167</v>
      </c>
      <c r="P378" s="121" t="s">
        <v>113066</v>
      </c>
      <c r="Q378" s="90" t="s">
        <v>113284</v>
      </c>
      <c r="R378" s="111">
        <f>550573393+208535397</f>
        <v>759108790</v>
      </c>
      <c r="S378" s="265"/>
      <c r="T378" s="266" t="s">
        <v>113151</v>
      </c>
      <c r="U378" s="300">
        <v>1124</v>
      </c>
      <c r="V378" s="311">
        <v>759108790</v>
      </c>
      <c r="W378" s="311">
        <v>759108790</v>
      </c>
      <c r="X378" s="302">
        <f t="shared" si="20"/>
        <v>0</v>
      </c>
    </row>
    <row r="379" spans="2:25" ht="45" x14ac:dyDescent="0.25">
      <c r="B379" s="84"/>
      <c r="C379" s="85"/>
      <c r="D379" s="85"/>
      <c r="E379" s="85"/>
      <c r="F379" s="85"/>
      <c r="G379" s="85"/>
      <c r="H379" s="85"/>
      <c r="I379" s="85"/>
      <c r="J379" s="86"/>
      <c r="K379" s="86" t="s">
        <v>113152</v>
      </c>
      <c r="L379" s="87" t="s">
        <v>113149</v>
      </c>
      <c r="M379" s="88" t="s">
        <v>113200</v>
      </c>
      <c r="N379" s="89">
        <v>45444</v>
      </c>
      <c r="O379" s="89" t="s">
        <v>113016</v>
      </c>
      <c r="P379" s="90" t="s">
        <v>113154</v>
      </c>
      <c r="Q379" s="90" t="s">
        <v>113283</v>
      </c>
      <c r="R379" s="111">
        <f>4564220183-1854760690-208535397-2481348913-19575183</f>
        <v>0</v>
      </c>
      <c r="S379" s="265"/>
      <c r="T379" s="266" t="s">
        <v>113151</v>
      </c>
      <c r="U379" s="303"/>
      <c r="V379" s="301"/>
      <c r="W379" s="301"/>
      <c r="X379" s="302">
        <f t="shared" si="20"/>
        <v>0</v>
      </c>
    </row>
    <row r="380" spans="2:25" ht="30" x14ac:dyDescent="0.25">
      <c r="B380" s="84"/>
      <c r="C380" s="85"/>
      <c r="D380" s="85"/>
      <c r="E380" s="85"/>
      <c r="F380" s="85"/>
      <c r="G380" s="85"/>
      <c r="H380" s="85"/>
      <c r="I380" s="85"/>
      <c r="J380" s="86"/>
      <c r="K380" s="86" t="s">
        <v>113152</v>
      </c>
      <c r="L380" s="87">
        <v>81101500</v>
      </c>
      <c r="M380" s="88" t="s">
        <v>113201</v>
      </c>
      <c r="N380" s="89">
        <v>45444</v>
      </c>
      <c r="O380" s="89" t="s">
        <v>113016</v>
      </c>
      <c r="P380" s="90" t="s">
        <v>113154</v>
      </c>
      <c r="Q380" s="90" t="s">
        <v>113284</v>
      </c>
      <c r="R380" s="111">
        <f>410779817-410779817</f>
        <v>0</v>
      </c>
      <c r="S380" s="265"/>
      <c r="T380" s="266" t="s">
        <v>113151</v>
      </c>
      <c r="U380" s="303"/>
      <c r="V380" s="301"/>
      <c r="W380" s="301"/>
      <c r="X380" s="302">
        <f t="shared" si="20"/>
        <v>0</v>
      </c>
    </row>
    <row r="381" spans="2:25" ht="30" x14ac:dyDescent="0.25">
      <c r="B381" s="84"/>
      <c r="C381" s="85"/>
      <c r="D381" s="85"/>
      <c r="E381" s="85"/>
      <c r="F381" s="85"/>
      <c r="G381" s="85"/>
      <c r="H381" s="85"/>
      <c r="I381" s="85"/>
      <c r="J381" s="86"/>
      <c r="K381" s="86" t="s">
        <v>113152</v>
      </c>
      <c r="L381" s="87">
        <v>90121600</v>
      </c>
      <c r="M381" s="88" t="s">
        <v>113156</v>
      </c>
      <c r="N381" s="89">
        <v>45311</v>
      </c>
      <c r="O381" s="89" t="s">
        <v>113058</v>
      </c>
      <c r="P381" s="90" t="s">
        <v>113009</v>
      </c>
      <c r="Q381" s="90" t="s">
        <v>113274</v>
      </c>
      <c r="R381" s="111">
        <v>50000000</v>
      </c>
      <c r="S381" s="128"/>
      <c r="T381" s="266" t="s">
        <v>113151</v>
      </c>
      <c r="U381" s="300">
        <v>12324</v>
      </c>
      <c r="V381" s="301">
        <v>50000000</v>
      </c>
      <c r="W381" s="301">
        <v>50000000</v>
      </c>
      <c r="X381" s="302">
        <f t="shared" si="20"/>
        <v>0</v>
      </c>
    </row>
    <row r="382" spans="2:25" ht="25.5" customHeight="1" x14ac:dyDescent="0.25">
      <c r="B382" s="84"/>
      <c r="C382" s="85"/>
      <c r="D382" s="85"/>
      <c r="E382" s="85"/>
      <c r="F382" s="85"/>
      <c r="G382" s="85"/>
      <c r="H382" s="85"/>
      <c r="I382" s="85"/>
      <c r="J382" s="86"/>
      <c r="K382" s="86" t="s">
        <v>113152</v>
      </c>
      <c r="L382" s="87">
        <v>90111500</v>
      </c>
      <c r="M382" s="88" t="s">
        <v>113199</v>
      </c>
      <c r="N382" s="89">
        <v>45311</v>
      </c>
      <c r="O382" s="89" t="s">
        <v>113167</v>
      </c>
      <c r="P382" s="90" t="s">
        <v>113165</v>
      </c>
      <c r="Q382" s="90" t="s">
        <v>113029</v>
      </c>
      <c r="R382" s="111">
        <v>70000000</v>
      </c>
      <c r="S382" s="128"/>
      <c r="T382" s="266" t="s">
        <v>113151</v>
      </c>
      <c r="U382" s="300">
        <v>6724</v>
      </c>
      <c r="V382" s="301">
        <v>70000000</v>
      </c>
      <c r="W382" s="301">
        <v>25955428</v>
      </c>
      <c r="X382" s="302">
        <f t="shared" si="20"/>
        <v>-44044572</v>
      </c>
    </row>
    <row r="383" spans="2:25" ht="26.25" customHeight="1" x14ac:dyDescent="0.25">
      <c r="B383" s="84"/>
      <c r="C383" s="85"/>
      <c r="D383" s="85"/>
      <c r="E383" s="85"/>
      <c r="F383" s="85"/>
      <c r="G383" s="85"/>
      <c r="H383" s="85"/>
      <c r="I383" s="85"/>
      <c r="J383" s="86"/>
      <c r="K383" s="86" t="s">
        <v>113152</v>
      </c>
      <c r="L383" s="87" t="s">
        <v>113202</v>
      </c>
      <c r="M383" s="88" t="s">
        <v>113155</v>
      </c>
      <c r="N383" s="89">
        <v>45305</v>
      </c>
      <c r="O383" s="89" t="s">
        <v>113167</v>
      </c>
      <c r="P383" s="90" t="s">
        <v>113165</v>
      </c>
      <c r="Q383" s="90" t="s">
        <v>113090</v>
      </c>
      <c r="R383" s="111">
        <f>500000000+183600000</f>
        <v>683600000</v>
      </c>
      <c r="S383" s="128"/>
      <c r="T383" s="266" t="s">
        <v>113151</v>
      </c>
      <c r="U383" s="304" t="s">
        <v>113356</v>
      </c>
      <c r="V383" s="307">
        <f>500000000+97378982</f>
        <v>597378982</v>
      </c>
      <c r="W383" s="301">
        <v>549000000</v>
      </c>
      <c r="X383" s="302">
        <f t="shared" si="20"/>
        <v>-134600000</v>
      </c>
    </row>
    <row r="384" spans="2:25" ht="29.25" customHeight="1" x14ac:dyDescent="0.25">
      <c r="B384" s="84"/>
      <c r="C384" s="85"/>
      <c r="D384" s="85"/>
      <c r="E384" s="85"/>
      <c r="F384" s="85"/>
      <c r="G384" s="85"/>
      <c r="H384" s="85"/>
      <c r="I384" s="85"/>
      <c r="J384" s="86"/>
      <c r="K384" s="86" t="s">
        <v>113152</v>
      </c>
      <c r="L384" s="87" t="s">
        <v>113202</v>
      </c>
      <c r="M384" s="88" t="s">
        <v>113155</v>
      </c>
      <c r="N384" s="89">
        <v>45305</v>
      </c>
      <c r="O384" s="89" t="s">
        <v>113167</v>
      </c>
      <c r="P384" s="90" t="s">
        <v>113165</v>
      </c>
      <c r="Q384" s="90" t="s">
        <v>113284</v>
      </c>
      <c r="R384" s="111">
        <f>481315002-183600000</f>
        <v>297715002</v>
      </c>
      <c r="S384" s="128"/>
      <c r="T384" s="266" t="s">
        <v>113151</v>
      </c>
      <c r="U384" s="300">
        <v>5624</v>
      </c>
      <c r="V384" s="307">
        <v>186600000</v>
      </c>
      <c r="W384" s="301"/>
      <c r="X384" s="302">
        <f t="shared" si="20"/>
        <v>-297715002</v>
      </c>
    </row>
    <row r="385" spans="2:24" ht="44.25" customHeight="1" x14ac:dyDescent="0.25">
      <c r="B385" s="84"/>
      <c r="C385" s="85"/>
      <c r="D385" s="85"/>
      <c r="E385" s="85"/>
      <c r="F385" s="85"/>
      <c r="G385" s="85"/>
      <c r="H385" s="85"/>
      <c r="I385" s="85"/>
      <c r="J385" s="86"/>
      <c r="K385" s="86"/>
      <c r="L385" s="87" t="s">
        <v>113149</v>
      </c>
      <c r="M385" s="88" t="s">
        <v>113287</v>
      </c>
      <c r="N385" s="89">
        <v>45455</v>
      </c>
      <c r="O385" s="89" t="s">
        <v>113171</v>
      </c>
      <c r="P385" s="90" t="s">
        <v>113289</v>
      </c>
      <c r="Q385" s="90" t="s">
        <v>113283</v>
      </c>
      <c r="R385" s="111">
        <v>2481348913</v>
      </c>
      <c r="S385" s="288">
        <v>8000000000</v>
      </c>
      <c r="T385" s="266" t="s">
        <v>113151</v>
      </c>
      <c r="U385" s="300">
        <v>25624</v>
      </c>
      <c r="V385" s="380">
        <v>2481348913</v>
      </c>
      <c r="W385" s="301"/>
      <c r="X385" s="302">
        <f t="shared" si="20"/>
        <v>-2481348913</v>
      </c>
    </row>
    <row r="386" spans="2:24" ht="44.25" customHeight="1" x14ac:dyDescent="0.25">
      <c r="B386" s="84"/>
      <c r="C386" s="85"/>
      <c r="D386" s="85"/>
      <c r="E386" s="85"/>
      <c r="F386" s="85"/>
      <c r="G386" s="85"/>
      <c r="H386" s="85"/>
      <c r="I386" s="85"/>
      <c r="J386" s="86"/>
      <c r="K386" s="86"/>
      <c r="L386" s="87">
        <v>81101500</v>
      </c>
      <c r="M386" s="88" t="s">
        <v>113288</v>
      </c>
      <c r="N386" s="89">
        <v>45455</v>
      </c>
      <c r="O386" s="89" t="s">
        <v>113171</v>
      </c>
      <c r="P386" s="90" t="s">
        <v>113066</v>
      </c>
      <c r="Q386" s="90" t="s">
        <v>113283</v>
      </c>
      <c r="R386" s="111">
        <f>19575183+410779817</f>
        <v>430355000</v>
      </c>
      <c r="S386" s="288">
        <v>1300000000</v>
      </c>
      <c r="T386" s="266" t="s">
        <v>113151</v>
      </c>
      <c r="U386" s="300">
        <v>25624</v>
      </c>
      <c r="V386" s="380">
        <f>19575183+410779817</f>
        <v>430355000</v>
      </c>
      <c r="W386" s="301"/>
      <c r="X386" s="302">
        <f t="shared" si="20"/>
        <v>-430355000</v>
      </c>
    </row>
    <row r="387" spans="2:24" ht="39" customHeight="1" x14ac:dyDescent="0.25">
      <c r="B387" s="84"/>
      <c r="C387" s="85"/>
      <c r="D387" s="85"/>
      <c r="E387" s="85"/>
      <c r="F387" s="85"/>
      <c r="G387" s="85"/>
      <c r="H387" s="85"/>
      <c r="I387" s="85"/>
      <c r="J387" s="86"/>
      <c r="K387" s="86" t="s">
        <v>113152</v>
      </c>
      <c r="L387" s="87" t="s">
        <v>113149</v>
      </c>
      <c r="M387" s="88" t="s">
        <v>113203</v>
      </c>
      <c r="N387" s="89">
        <v>45336</v>
      </c>
      <c r="O387" s="89" t="s">
        <v>113167</v>
      </c>
      <c r="P387" s="90" t="s">
        <v>113204</v>
      </c>
      <c r="Q387" s="90" t="s">
        <v>113283</v>
      </c>
      <c r="R387" s="111">
        <f>4133000000-712261158-276453645.92</f>
        <v>3144285196.0799999</v>
      </c>
      <c r="S387" s="128"/>
      <c r="T387" s="266" t="s">
        <v>113151</v>
      </c>
      <c r="U387" s="300">
        <v>55324</v>
      </c>
      <c r="V387" s="301">
        <v>3144285196.0799999</v>
      </c>
      <c r="W387" s="301"/>
      <c r="X387" s="302">
        <f t="shared" si="20"/>
        <v>-3144285196.0799999</v>
      </c>
    </row>
    <row r="388" spans="2:24" ht="30" x14ac:dyDescent="0.25">
      <c r="B388" s="84"/>
      <c r="C388" s="85"/>
      <c r="D388" s="85"/>
      <c r="E388" s="85"/>
      <c r="F388" s="85"/>
      <c r="G388" s="85"/>
      <c r="H388" s="85"/>
      <c r="I388" s="85"/>
      <c r="J388" s="86"/>
      <c r="K388" s="86" t="s">
        <v>113152</v>
      </c>
      <c r="L388" s="87">
        <v>81101500</v>
      </c>
      <c r="M388" s="88" t="s">
        <v>113205</v>
      </c>
      <c r="N388" s="89">
        <v>45336</v>
      </c>
      <c r="O388" s="89" t="s">
        <v>113167</v>
      </c>
      <c r="P388" s="90" t="s">
        <v>113204</v>
      </c>
      <c r="Q388" s="90" t="s">
        <v>113284</v>
      </c>
      <c r="R388" s="111">
        <v>405000000</v>
      </c>
      <c r="S388" s="128"/>
      <c r="T388" s="266" t="s">
        <v>113151</v>
      </c>
      <c r="U388" s="303"/>
      <c r="V388" s="301"/>
      <c r="W388" s="301"/>
      <c r="X388" s="302">
        <f t="shared" si="20"/>
        <v>-405000000</v>
      </c>
    </row>
    <row r="389" spans="2:24" ht="45" x14ac:dyDescent="0.25">
      <c r="B389" s="84"/>
      <c r="C389" s="85"/>
      <c r="D389" s="85"/>
      <c r="E389" s="85"/>
      <c r="F389" s="85"/>
      <c r="G389" s="85"/>
      <c r="H389" s="85"/>
      <c r="I389" s="85"/>
      <c r="J389" s="86"/>
      <c r="K389" s="86" t="s">
        <v>113152</v>
      </c>
      <c r="L389" s="87" t="s">
        <v>113149</v>
      </c>
      <c r="M389" s="88" t="s">
        <v>113206</v>
      </c>
      <c r="N389" s="89">
        <v>45336</v>
      </c>
      <c r="O389" s="89" t="s">
        <v>113167</v>
      </c>
      <c r="P389" s="90" t="s">
        <v>113204</v>
      </c>
      <c r="Q389" s="90" t="s">
        <v>113283</v>
      </c>
      <c r="R389" s="111">
        <f>2107000000+712261158</f>
        <v>2819261158</v>
      </c>
      <c r="S389" s="128"/>
      <c r="T389" s="266" t="s">
        <v>113151</v>
      </c>
      <c r="U389" s="300">
        <v>49924</v>
      </c>
      <c r="V389" s="301">
        <v>2819261158</v>
      </c>
      <c r="W389" s="301"/>
      <c r="X389" s="302">
        <f t="shared" si="20"/>
        <v>-2819261158</v>
      </c>
    </row>
    <row r="390" spans="2:24" ht="30" x14ac:dyDescent="0.25">
      <c r="B390" s="84"/>
      <c r="C390" s="85"/>
      <c r="D390" s="85"/>
      <c r="E390" s="85"/>
      <c r="F390" s="85"/>
      <c r="G390" s="85"/>
      <c r="H390" s="85"/>
      <c r="I390" s="85"/>
      <c r="J390" s="86"/>
      <c r="K390" s="86" t="s">
        <v>113152</v>
      </c>
      <c r="L390" s="87">
        <v>81101500</v>
      </c>
      <c r="M390" s="88" t="s">
        <v>113207</v>
      </c>
      <c r="N390" s="89">
        <v>45336</v>
      </c>
      <c r="O390" s="89" t="s">
        <v>113167</v>
      </c>
      <c r="P390" s="90" t="s">
        <v>113204</v>
      </c>
      <c r="Q390" s="90" t="s">
        <v>113284</v>
      </c>
      <c r="R390" s="111">
        <v>355000000</v>
      </c>
      <c r="S390" s="128"/>
      <c r="T390" s="266" t="s">
        <v>113151</v>
      </c>
      <c r="U390" s="300">
        <v>52324</v>
      </c>
      <c r="V390" s="301">
        <v>265151241</v>
      </c>
      <c r="W390" s="301"/>
      <c r="X390" s="302">
        <f t="shared" si="20"/>
        <v>-355000000</v>
      </c>
    </row>
  </sheetData>
  <sheetProtection formatCells="0" formatColumns="0" formatRows="0" insertColumns="0" insertRows="0" insertHyperlinks="0" deleteColumns="0" deleteRows="0" sort="0" autoFilter="0" pivotTables="0"/>
  <mergeCells count="1">
    <mergeCell ref="B321:L321"/>
  </mergeCells>
  <conditionalFormatting sqref="N17:O17">
    <cfRule type="timePeriod" dxfId="5" priority="9" timePeriod="lastMonth">
      <formula>AND(MONTH(N17)=MONTH(EDATE(TODAY(),0-1)),YEAR(N17)=YEAR(EDATE(TODAY(),0-1)))</formula>
    </cfRule>
  </conditionalFormatting>
  <conditionalFormatting sqref="N24:O24">
    <cfRule type="timePeriod" dxfId="4" priority="7" timePeriod="lastMonth">
      <formula>AND(MONTH(N24)=MONTH(EDATE(TODAY(),0-1)),YEAR(N24)=YEAR(EDATE(TODAY(),0-1)))</formula>
    </cfRule>
  </conditionalFormatting>
  <conditionalFormatting sqref="N39:O39">
    <cfRule type="timePeriod" dxfId="3" priority="5" timePeriod="lastMonth">
      <formula>AND(MONTH(N39)=MONTH(EDATE(TODAY(),0-1)),YEAR(N39)=YEAR(EDATE(TODAY(),0-1)))</formula>
    </cfRule>
  </conditionalFormatting>
  <conditionalFormatting sqref="N42:O42">
    <cfRule type="timePeriod" dxfId="2" priority="3" timePeriod="lastMonth">
      <formula>AND(MONTH(N42)=MONTH(EDATE(TODAY(),0-1)),YEAR(N42)=YEAR(EDATE(TODAY(),0-1)))</formula>
    </cfRule>
  </conditionalFormatting>
  <conditionalFormatting sqref="N64:O64">
    <cfRule type="timePeriod" dxfId="1" priority="1" timePeriod="lastMonth">
      <formula>AND(MONTH(N64)=MONTH(EDATE(TODAY(),0-1)),YEAR(N64)=YEAR(EDATE(TODAY(),0-1)))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U347:X348 U333:X344 T1:T179 U218:X220 U329:X329 Y1:Y5 U6 U324:X327 U316:X318 T315:T1048576 W125 U123 T291:T295 U375:X376 W73 U331:X331 W237 U243:W243 U246:X246 W270 T297:T312 W310 U90:X90 U320:X320 W95 U322:X322 T181:T199 W230 T201:T289 V89</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T180 T200</xm:sqref>
        </x14:dataValidation>
        <x14:dataValidation type="list" allowBlank="1" showInputMessage="1" showErrorMessage="1">
          <x14:formula1>
            <xm:f>'\\172.23.131.133\Planeacion\4.Plan de adquisiciones\Plan de Adquisiciones 2024 - ICFE\[17_Plan Anual Adquisiciones 2024_V17 en proceso.xlsx]Hoja1'!#REF!</xm:f>
          </x14:formula1>
          <xm:sqref>T290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113179</v>
      </c>
    </row>
    <row r="7" spans="2:2" x14ac:dyDescent="0.25">
      <c r="B7" t="s">
        <v>113030</v>
      </c>
    </row>
    <row r="8" spans="2:2" x14ac:dyDescent="0.25">
      <c r="B8" t="s">
        <v>113142</v>
      </c>
    </row>
    <row r="9" spans="2:2" x14ac:dyDescent="0.25">
      <c r="B9" t="s">
        <v>113077</v>
      </c>
    </row>
    <row r="10" spans="2:2" x14ac:dyDescent="0.25">
      <c r="B10" t="s">
        <v>113055</v>
      </c>
    </row>
    <row r="11" spans="2:2" x14ac:dyDescent="0.25">
      <c r="B11" t="s">
        <v>113017</v>
      </c>
    </row>
    <row r="12" spans="2:2" x14ac:dyDescent="0.25">
      <c r="B12" t="s">
        <v>113052</v>
      </c>
    </row>
    <row r="13" spans="2:2" x14ac:dyDescent="0.25">
      <c r="B13" t="s">
        <v>113073</v>
      </c>
    </row>
    <row r="14" spans="2:2" x14ac:dyDescent="0.25">
      <c r="B14" t="s">
        <v>113180</v>
      </c>
    </row>
    <row r="15" spans="2:2" x14ac:dyDescent="0.25">
      <c r="B15" t="s">
        <v>113002</v>
      </c>
    </row>
    <row r="16" spans="2:2" x14ac:dyDescent="0.25">
      <c r="B16" t="s">
        <v>113070</v>
      </c>
    </row>
    <row r="17" spans="2:2" x14ac:dyDescent="0.25">
      <c r="B17" t="s">
        <v>112999</v>
      </c>
    </row>
    <row r="18" spans="2:2" x14ac:dyDescent="0.25">
      <c r="B18" t="s">
        <v>113062</v>
      </c>
    </row>
    <row r="19" spans="2:2" x14ac:dyDescent="0.25">
      <c r="B19" t="s">
        <v>113010</v>
      </c>
    </row>
    <row r="20" spans="2:2" x14ac:dyDescent="0.25">
      <c r="B20" t="s">
        <v>113033</v>
      </c>
    </row>
    <row r="21" spans="2:2" x14ac:dyDescent="0.25">
      <c r="B21" t="s">
        <v>113072</v>
      </c>
    </row>
    <row r="22" spans="2:2" x14ac:dyDescent="0.25">
      <c r="B22" t="s">
        <v>113092</v>
      </c>
    </row>
    <row r="23" spans="2:2" x14ac:dyDescent="0.25">
      <c r="B23" t="s">
        <v>113079</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3755" workbookViewId="0">
      <selection activeCell="H3769" sqref="H3769"/>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60.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51"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51"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51"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51"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18271" workbookViewId="0">
      <selection activeCell="A18294" sqref="A18294"/>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113264</v>
      </c>
      <c r="F1" s="282"/>
      <c r="G1" t="s">
        <v>113263</v>
      </c>
    </row>
    <row r="2" spans="1:8" x14ac:dyDescent="0.25">
      <c r="B2" s="281"/>
      <c r="C2" s="280">
        <v>2022</v>
      </c>
      <c r="D2" s="280">
        <v>2023</v>
      </c>
      <c r="E2" s="279" t="s">
        <v>113262</v>
      </c>
      <c r="F2" s="279" t="s">
        <v>113262</v>
      </c>
      <c r="G2" s="278">
        <v>2024</v>
      </c>
    </row>
    <row r="3" spans="1:8" x14ac:dyDescent="0.25">
      <c r="B3" s="275" t="s">
        <v>113261</v>
      </c>
      <c r="C3" s="277">
        <v>5900000</v>
      </c>
      <c r="D3" s="273">
        <v>6684700</v>
      </c>
      <c r="E3" s="273">
        <f t="shared" ref="E3:E11" si="0">+D3*10%</f>
        <v>668470</v>
      </c>
      <c r="F3" s="276">
        <f t="shared" ref="F3:F11" si="1">+D3+E3</f>
        <v>7353170</v>
      </c>
      <c r="G3" s="272">
        <v>7300000</v>
      </c>
    </row>
    <row r="4" spans="1:8" x14ac:dyDescent="0.25">
      <c r="B4" s="275" t="s">
        <v>113260</v>
      </c>
      <c r="C4" s="277">
        <v>4600000</v>
      </c>
      <c r="D4" s="273">
        <v>5211800</v>
      </c>
      <c r="E4" s="273">
        <f t="shared" si="0"/>
        <v>521180</v>
      </c>
      <c r="F4" s="276">
        <f t="shared" si="1"/>
        <v>5732980</v>
      </c>
      <c r="G4" s="272">
        <v>5700000</v>
      </c>
      <c r="H4" s="289"/>
    </row>
    <row r="5" spans="1:8" x14ac:dyDescent="0.25">
      <c r="A5" t="s">
        <v>113268</v>
      </c>
      <c r="B5" s="275" t="s">
        <v>113259</v>
      </c>
      <c r="C5" s="277">
        <v>3300000</v>
      </c>
      <c r="D5" s="273">
        <v>3738900</v>
      </c>
      <c r="E5" s="273">
        <f t="shared" si="0"/>
        <v>373890</v>
      </c>
      <c r="F5" s="276">
        <f t="shared" si="1"/>
        <v>4112790</v>
      </c>
      <c r="G5" s="272">
        <v>4100000</v>
      </c>
      <c r="H5" s="289"/>
    </row>
    <row r="6" spans="1:8" x14ac:dyDescent="0.25">
      <c r="B6" s="275" t="s">
        <v>113258</v>
      </c>
      <c r="C6" s="277">
        <v>2600000</v>
      </c>
      <c r="D6" s="273">
        <v>2945800</v>
      </c>
      <c r="E6" s="273">
        <f t="shared" si="0"/>
        <v>294580</v>
      </c>
      <c r="F6" s="276">
        <f t="shared" si="1"/>
        <v>3240380</v>
      </c>
      <c r="G6" s="272">
        <v>3200000</v>
      </c>
    </row>
    <row r="7" spans="1:8" x14ac:dyDescent="0.25">
      <c r="B7" s="275" t="s">
        <v>113257</v>
      </c>
      <c r="C7" s="277">
        <v>2100000</v>
      </c>
      <c r="D7" s="273">
        <v>2379300</v>
      </c>
      <c r="E7" s="273">
        <f t="shared" si="0"/>
        <v>237930</v>
      </c>
      <c r="F7" s="276">
        <f t="shared" si="1"/>
        <v>2617230</v>
      </c>
      <c r="G7" s="272">
        <v>2600000</v>
      </c>
    </row>
    <row r="8" spans="1:8" x14ac:dyDescent="0.25">
      <c r="B8" s="275" t="s">
        <v>113256</v>
      </c>
      <c r="C8" s="277">
        <v>1400000</v>
      </c>
      <c r="D8" s="273">
        <v>1586200</v>
      </c>
      <c r="E8" s="273">
        <f t="shared" si="0"/>
        <v>158620</v>
      </c>
      <c r="F8" s="276">
        <f t="shared" si="1"/>
        <v>1744820</v>
      </c>
      <c r="G8" s="272">
        <v>1700000</v>
      </c>
    </row>
    <row r="9" spans="1:8" x14ac:dyDescent="0.25">
      <c r="B9" s="275" t="s">
        <v>113255</v>
      </c>
      <c r="C9" s="274">
        <v>2400000</v>
      </c>
      <c r="D9" s="273">
        <v>2500000</v>
      </c>
      <c r="E9" s="273">
        <f t="shared" si="0"/>
        <v>250000</v>
      </c>
      <c r="F9" s="272">
        <f t="shared" si="1"/>
        <v>2750000</v>
      </c>
      <c r="G9" s="272">
        <v>2700000</v>
      </c>
      <c r="H9" s="271"/>
    </row>
    <row r="10" spans="1:8" x14ac:dyDescent="0.25">
      <c r="B10" s="275" t="s">
        <v>113254</v>
      </c>
      <c r="C10" s="274">
        <v>2400000</v>
      </c>
      <c r="D10" s="273">
        <v>2400000</v>
      </c>
      <c r="E10" s="273">
        <f t="shared" si="0"/>
        <v>240000</v>
      </c>
      <c r="F10" s="272">
        <f t="shared" si="1"/>
        <v>2640000</v>
      </c>
      <c r="G10" s="272">
        <v>2600000</v>
      </c>
      <c r="H10" s="271"/>
    </row>
    <row r="11" spans="1:8" x14ac:dyDescent="0.25">
      <c r="B11" s="275" t="s">
        <v>113253</v>
      </c>
      <c r="C11" s="274">
        <v>1800000</v>
      </c>
      <c r="D11" s="273">
        <v>2000000</v>
      </c>
      <c r="E11" s="273">
        <f t="shared" si="0"/>
        <v>200000</v>
      </c>
      <c r="F11" s="272">
        <f t="shared" si="1"/>
        <v>2200000</v>
      </c>
      <c r="G11" s="272">
        <v>2200000</v>
      </c>
    </row>
    <row r="12" spans="1:8" x14ac:dyDescent="0.25">
      <c r="B12" s="286" t="s">
        <v>113267</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2024-07-16T20:30:06Z</dcterms:modified>
</cp:coreProperties>
</file>